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8_{49AECA9C-9BD4-5B43-B50F-031E83732606}" xr6:coauthVersionLast="45" xr6:coauthVersionMax="45" xr10:uidLastSave="{00000000-0000-0000-0000-000000000000}"/>
  <bookViews>
    <workbookView xWindow="0" yWindow="900" windowWidth="20730" windowHeight="8835" xr2:uid="{00000000-000D-0000-FFFF-FFFF00000000}"/>
  </bookViews>
  <sheets>
    <sheet name="прайс ТОО KGR 2020 в руб" sheetId="5" r:id="rId1"/>
    <sheet name="твинпаки 2020 руб" sheetId="13" r:id="rId2"/>
    <sheet name="прайс ТОО KGR 2020 в тенге" sheetId="16" r:id="rId3"/>
    <sheet name="твинпаки 2020 тенге" sheetId="14" r:id="rId4"/>
  </sheets>
  <definedNames>
    <definedName name="_xlnm._FilterDatabase" localSheetId="0" hidden="1">'прайс ТОО KGR 2020 в руб'!$B$14:$G$40</definedName>
    <definedName name="_xlnm._FilterDatabase" localSheetId="2" hidden="1">'прайс ТОО KGR 2020 в тенге'!$B$14:$H$40</definedName>
    <definedName name="_xlnm.Print_Area" localSheetId="0">'прайс ТОО KGR 2020 в руб'!$A$1:$G$236</definedName>
    <definedName name="_xlnm.Print_Area" localSheetId="2">'прайс ТОО KGR 2020 в тенге'!$A$1:$H$236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1" i="16" l="1"/>
  <c r="F229" i="16"/>
  <c r="F227" i="16"/>
  <c r="F226" i="16"/>
  <c r="F225" i="16"/>
  <c r="F224" i="16"/>
  <c r="F222" i="16"/>
  <c r="F220" i="16"/>
  <c r="F219" i="16"/>
  <c r="F218" i="16"/>
  <c r="F217" i="16"/>
  <c r="F216" i="16"/>
  <c r="F213" i="16"/>
  <c r="F212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F195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8" i="16"/>
  <c r="F157" i="16"/>
  <c r="F156" i="16"/>
  <c r="F155" i="16"/>
  <c r="F154" i="16"/>
  <c r="F153" i="16"/>
  <c r="F152" i="16"/>
  <c r="F151" i="16"/>
  <c r="F150" i="16"/>
  <c r="F149" i="16"/>
  <c r="F148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1" i="16"/>
  <c r="F130" i="16"/>
  <c r="F127" i="16"/>
  <c r="F126" i="16"/>
  <c r="F125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09" i="16"/>
  <c r="F108" i="16"/>
  <c r="F107" i="16"/>
  <c r="F106" i="16"/>
  <c r="F105" i="16"/>
  <c r="F104" i="16"/>
  <c r="F103" i="16"/>
  <c r="F102" i="16"/>
  <c r="F99" i="16"/>
  <c r="F98" i="16"/>
  <c r="F97" i="16"/>
  <c r="F95" i="16"/>
  <c r="F94" i="16"/>
  <c r="F93" i="16"/>
  <c r="F90" i="16"/>
  <c r="F89" i="16"/>
  <c r="F88" i="16"/>
  <c r="F87" i="16"/>
  <c r="F86" i="16"/>
  <c r="L85" i="16"/>
  <c r="F84" i="16"/>
  <c r="F83" i="16"/>
  <c r="F82" i="16"/>
  <c r="F81" i="16"/>
  <c r="F79" i="16"/>
  <c r="F77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0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92" i="16"/>
  <c r="F91" i="16"/>
  <c r="E89" i="5"/>
  <c r="D13" i="14"/>
  <c r="D19" i="14"/>
  <c r="D18" i="14"/>
  <c r="D17" i="14"/>
  <c r="D16" i="14"/>
  <c r="D15" i="14"/>
  <c r="G20" i="13"/>
  <c r="H20" i="13"/>
  <c r="G19" i="13"/>
  <c r="H19" i="13"/>
  <c r="D19" i="13"/>
  <c r="D18" i="13"/>
  <c r="G17" i="13"/>
  <c r="H17" i="13"/>
  <c r="D17" i="13"/>
  <c r="G16" i="13"/>
  <c r="H16" i="13"/>
  <c r="D16" i="13"/>
  <c r="G15" i="13"/>
  <c r="H15" i="13"/>
  <c r="D15" i="13"/>
  <c r="G14" i="13"/>
  <c r="H14" i="13"/>
  <c r="D13" i="13"/>
  <c r="E231" i="5"/>
  <c r="E229" i="5"/>
  <c r="E227" i="5"/>
  <c r="E226" i="5"/>
  <c r="E225" i="5"/>
  <c r="E224" i="5"/>
  <c r="E222" i="5"/>
  <c r="E220" i="5"/>
  <c r="E219" i="5"/>
  <c r="E218" i="5"/>
  <c r="E217" i="5"/>
  <c r="E216" i="5"/>
  <c r="E213" i="5"/>
  <c r="E212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8" i="5"/>
  <c r="E157" i="5"/>
  <c r="E156" i="5"/>
  <c r="E155" i="5"/>
  <c r="E154" i="5"/>
  <c r="E153" i="5"/>
  <c r="E152" i="5"/>
  <c r="E151" i="5"/>
  <c r="E150" i="5"/>
  <c r="E149" i="5"/>
  <c r="E148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1" i="5"/>
  <c r="E130" i="5"/>
  <c r="E127" i="5"/>
  <c r="E126" i="5"/>
  <c r="E125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09" i="5"/>
  <c r="E108" i="5"/>
  <c r="E107" i="5"/>
  <c r="E106" i="5"/>
  <c r="E105" i="5"/>
  <c r="E104" i="5"/>
  <c r="E103" i="5"/>
  <c r="E102" i="5"/>
  <c r="E99" i="5"/>
  <c r="E98" i="5"/>
  <c r="E97" i="5"/>
  <c r="E95" i="5"/>
  <c r="E94" i="5"/>
  <c r="E92" i="5"/>
  <c r="E90" i="5"/>
  <c r="E88" i="5"/>
  <c r="E87" i="5"/>
  <c r="E86" i="5"/>
  <c r="K85" i="5"/>
  <c r="E84" i="5"/>
  <c r="E83" i="5"/>
  <c r="E82" i="5"/>
  <c r="E81" i="5"/>
  <c r="E79" i="5"/>
  <c r="E77" i="5"/>
  <c r="E76" i="5"/>
  <c r="E75" i="5"/>
  <c r="E74" i="5"/>
  <c r="E73" i="5"/>
  <c r="E72" i="5"/>
  <c r="E71" i="5"/>
  <c r="E70" i="5"/>
  <c r="E69" i="5"/>
  <c r="E68" i="5"/>
  <c r="E67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0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91" i="5"/>
  <c r="E93" i="5"/>
</calcChain>
</file>

<file path=xl/sharedStrings.xml><?xml version="1.0" encoding="utf-8"?>
<sst xmlns="http://schemas.openxmlformats.org/spreadsheetml/2006/main" count="1280" uniqueCount="429">
  <si>
    <t xml:space="preserve"> </t>
  </si>
  <si>
    <t>пшеница яровая</t>
  </si>
  <si>
    <t>ячмень яровой</t>
  </si>
  <si>
    <t>0,3 - 0,4</t>
  </si>
  <si>
    <t>0,4 - 0,5</t>
  </si>
  <si>
    <t>0,3 - 0,5</t>
  </si>
  <si>
    <t>кукуруза</t>
  </si>
  <si>
    <t>1,0 - 3,0</t>
  </si>
  <si>
    <t xml:space="preserve">свекла сахарная </t>
  </si>
  <si>
    <t>1,2 - 1,5</t>
  </si>
  <si>
    <t>2,5-3,5</t>
  </si>
  <si>
    <t>пары</t>
  </si>
  <si>
    <t>лук</t>
  </si>
  <si>
    <t>0,5 - 0,9</t>
  </si>
  <si>
    <t>пшеница озимая</t>
  </si>
  <si>
    <t>1,5 - 3,0</t>
  </si>
  <si>
    <t>соя</t>
  </si>
  <si>
    <t>0,9 - 1,3</t>
  </si>
  <si>
    <t>картофель</t>
  </si>
  <si>
    <t>томат рассадный</t>
  </si>
  <si>
    <t>томат посевной</t>
  </si>
  <si>
    <t>однолетние злаковые сорняки (овсюг обыкновенный, щетинники, просовидные)</t>
  </si>
  <si>
    <t>0,4 - 1,2</t>
  </si>
  <si>
    <t>2,0 - 4,0</t>
  </si>
  <si>
    <t>1,5 - 4,0</t>
  </si>
  <si>
    <t>2,0 - 3,0</t>
  </si>
  <si>
    <t>1,0 - 1,5</t>
  </si>
  <si>
    <t>зерновые культуры</t>
  </si>
  <si>
    <t>десикация</t>
  </si>
  <si>
    <t>1,5 - 2,0</t>
  </si>
  <si>
    <t>рис</t>
  </si>
  <si>
    <t>пирикуляриоз</t>
  </si>
  <si>
    <t>0,3-0,4</t>
  </si>
  <si>
    <t>милдью</t>
  </si>
  <si>
    <t>фитофтороз, макроспориоз</t>
  </si>
  <si>
    <t>томаты</t>
  </si>
  <si>
    <t xml:space="preserve">огурцы  </t>
  </si>
  <si>
    <t>мучнистая роса, пероноспороз</t>
  </si>
  <si>
    <t>пероноспороз</t>
  </si>
  <si>
    <t>виноград</t>
  </si>
  <si>
    <t>яблоня</t>
  </si>
  <si>
    <t xml:space="preserve">вредная черепашка </t>
  </si>
  <si>
    <t xml:space="preserve">0,08 - 0,1 </t>
  </si>
  <si>
    <t>злаковые мухи</t>
  </si>
  <si>
    <t xml:space="preserve">рапс  </t>
  </si>
  <si>
    <t>колорадский жук</t>
  </si>
  <si>
    <t>колорадский жук, белокрылка</t>
  </si>
  <si>
    <t>луковая муха</t>
  </si>
  <si>
    <t>морковь</t>
  </si>
  <si>
    <t>морковная муха</t>
  </si>
  <si>
    <t>капуста</t>
  </si>
  <si>
    <t>виноградная лоза</t>
  </si>
  <si>
    <t>листовертки</t>
  </si>
  <si>
    <t>блошки</t>
  </si>
  <si>
    <t>хлопчатник</t>
  </si>
  <si>
    <t>рапс</t>
  </si>
  <si>
    <t>серая зерновая совка</t>
  </si>
  <si>
    <t>американская белая бабочка</t>
  </si>
  <si>
    <t>хлопковая совка, карадрина</t>
  </si>
  <si>
    <t>хлопковая совка</t>
  </si>
  <si>
    <t xml:space="preserve">картофель </t>
  </si>
  <si>
    <t xml:space="preserve">ДЕФОЛИАНТ </t>
  </si>
  <si>
    <t>АДЬЮВАНТ:</t>
  </si>
  <si>
    <t>0,009-0,012</t>
  </si>
  <si>
    <t>0,08-0,12</t>
  </si>
  <si>
    <t>на 15 га</t>
  </si>
  <si>
    <t>0,15-0,17</t>
  </si>
  <si>
    <t>лен масличный</t>
  </si>
  <si>
    <t>0,5 -0,8</t>
  </si>
  <si>
    <t>0,8-1,0</t>
  </si>
  <si>
    <t>3,0-4,0</t>
  </si>
  <si>
    <t>6,0-8,0</t>
  </si>
  <si>
    <t>4,0-5,0</t>
  </si>
  <si>
    <t>7,0-8,0</t>
  </si>
  <si>
    <t>рапс яровой</t>
  </si>
  <si>
    <t>однолетние двудольные  сорняки</t>
  </si>
  <si>
    <t>0,008-0,01</t>
  </si>
  <si>
    <t>0,12-0,16</t>
  </si>
  <si>
    <t>0,12-0,2</t>
  </si>
  <si>
    <t xml:space="preserve"> однолетние и многолетние двудольные сорняки, включая осоты и горчак розовый</t>
  </si>
  <si>
    <t>Наименование препарата</t>
  </si>
  <si>
    <t>Спектр действия</t>
  </si>
  <si>
    <t>пшеница озимая и яровая</t>
  </si>
  <si>
    <t>однолетние и многолетние двудольные сорняки</t>
  </si>
  <si>
    <t>однолетние двудольные, в т.ч. щирица и некоторые однолетние злаковые сорняки</t>
  </si>
  <si>
    <t>пшеница и ячмень яровые</t>
  </si>
  <si>
    <t>однолетние двудольные, в т.ч. дуришник обыкновенный</t>
  </si>
  <si>
    <t>однолетние  двудольные и злаковые сорняки до всходов и по вегетации</t>
  </si>
  <si>
    <t>пшеница яровая, ячмень яровой</t>
  </si>
  <si>
    <t>однолетние и многолетние злаковые и двудольные сорняки</t>
  </si>
  <si>
    <t>земли не с\х пользования</t>
  </si>
  <si>
    <t>однолетние и многолетние злаковые и двудольные сорняки в т.ч. виды амброзии</t>
  </si>
  <si>
    <t xml:space="preserve">парша, мучнистая роса на посадках </t>
  </si>
  <si>
    <t xml:space="preserve">серая зерновая совка-гусеницы младших возрастов </t>
  </si>
  <si>
    <t>рапсовый цветоед, крестоцветные блошки</t>
  </si>
  <si>
    <t>крестоцв.блошки, репная белянка, капустная совка</t>
  </si>
  <si>
    <t>участки заселенные  саранчовыми</t>
  </si>
  <si>
    <t xml:space="preserve">итальянский прус, азиатская саранча, мароккская саранча и нестадные виды саранчовых </t>
  </si>
  <si>
    <t xml:space="preserve">участки заселенные саранчовыми </t>
  </si>
  <si>
    <t>яблонная плодожорка, листовертка</t>
  </si>
  <si>
    <t>участки, заселенные саранчовыми</t>
  </si>
  <si>
    <t>пшеница яровая, участки заселенные саранчовыми</t>
  </si>
  <si>
    <t>плодожорки, листовертки, яблонная моль</t>
  </si>
  <si>
    <t>кукурузный и луговой мотыльки</t>
  </si>
  <si>
    <t>ускоряет естественное созревание нераскрытых коробочек</t>
  </si>
  <si>
    <t>ПАВ (усиливает и ускоряет проникновение препаратов)</t>
  </si>
  <si>
    <t>пшеница озимая, яровая, ячмень яровой</t>
  </si>
  <si>
    <t>0,7-1,4</t>
  </si>
  <si>
    <t>0,4-0,5</t>
  </si>
  <si>
    <t>0,2-0,3</t>
  </si>
  <si>
    <t>6,0-7,0</t>
  </si>
  <si>
    <t>проволочники, колорадский жук</t>
  </si>
  <si>
    <t>почвенные и наземные вредители всходов</t>
  </si>
  <si>
    <t>0,02-0,025</t>
  </si>
  <si>
    <t>многолетние и однолетние злаковые, некоторые двудольные сорняки</t>
  </si>
  <si>
    <t>Многолетние и однолетние злаковые,однолетние двудольные сорняки</t>
  </si>
  <si>
    <t>подсолнечник</t>
  </si>
  <si>
    <t>Норма расхода, л (кг)/га (т)</t>
  </si>
  <si>
    <t>Культура, объект</t>
  </si>
  <si>
    <t>горчак розовый и другие злостные многолетние двудольные сорняки (молочай ложный, бодяк полевой)</t>
  </si>
  <si>
    <t xml:space="preserve">пшеница озимая, яровая </t>
  </si>
  <si>
    <t>пузырчатая головня, корневые и стеблевые гнили,  фузариоз, бактериоз, плесневение семян</t>
  </si>
  <si>
    <t>аскохитоз, бактериоз, фузариоз, антракноз, серая гниль, плесневение семян</t>
  </si>
  <si>
    <t>пшеница озимая и яровая, ячмень яровой</t>
  </si>
  <si>
    <t>однолетние двудольные сорняки, в т.ч. устойчивые к МЦПА</t>
  </si>
  <si>
    <t>на 30 га</t>
  </si>
  <si>
    <t>рапс и подсолнечник (сорта и гибриды, устойчивые к имидазолинонам)</t>
  </si>
  <si>
    <t>0,01-0,015</t>
  </si>
  <si>
    <t>соя, горох</t>
  </si>
  <si>
    <t>подсолнечник, рапс</t>
  </si>
  <si>
    <t xml:space="preserve">однолетние и многолетние злаковые сорняки </t>
  </si>
  <si>
    <t>соя, горох, нут</t>
  </si>
  <si>
    <t>горох</t>
  </si>
  <si>
    <t>хлопковая, подгрызающие совки, клопы</t>
  </si>
  <si>
    <t xml:space="preserve">яблонная плодожорка, листовертки, клещи </t>
  </si>
  <si>
    <t>фитофтороз, парша, мокрая гниль</t>
  </si>
  <si>
    <t>пыльная и каменная головня, корневые гнили, плесневание семян</t>
  </si>
  <si>
    <t>сахарная свекла, соя, рапс, лук, морковь, капуста, картофель, подсолнечник</t>
  </si>
  <si>
    <t>на 25 га</t>
  </si>
  <si>
    <t>на 33 га</t>
  </si>
  <si>
    <t>КОМПЛЕКТЫ ТВИН ПАК</t>
  </si>
  <si>
    <t>1,0-1,5</t>
  </si>
  <si>
    <t xml:space="preserve">зерновые  </t>
  </si>
  <si>
    <t>2,0-4,0</t>
  </si>
  <si>
    <t>1,5-2,0</t>
  </si>
  <si>
    <t>поля, предназначенные под посев различных культур</t>
  </si>
  <si>
    <t>1,5-2,5</t>
  </si>
  <si>
    <t xml:space="preserve">горчак розовый  </t>
  </si>
  <si>
    <t>Пшеница яровая</t>
  </si>
  <si>
    <t>Серая зерновая совка</t>
  </si>
  <si>
    <t>однолетние двудольные и злаковые сорняки</t>
  </si>
  <si>
    <t>однолетние и многолетние злаковые сорняки</t>
  </si>
  <si>
    <t>0,05-0,07</t>
  </si>
  <si>
    <t>0,2-0,4</t>
  </si>
  <si>
    <t>0,05-0,075</t>
  </si>
  <si>
    <t>0,16-0,32</t>
  </si>
  <si>
    <t>0,1-0,2</t>
  </si>
  <si>
    <t>0,1-0,15</t>
  </si>
  <si>
    <t>0,075-0,1</t>
  </si>
  <si>
    <t xml:space="preserve">0,06- 0,1 </t>
  </si>
  <si>
    <t>0,1-0,12</t>
  </si>
  <si>
    <t xml:space="preserve">0,08-0,1 </t>
  </si>
  <si>
    <t>2,0-2,5</t>
  </si>
  <si>
    <t>2,5-3,0</t>
  </si>
  <si>
    <t>0,15-0,2</t>
  </si>
  <si>
    <t>0,5-0,7</t>
  </si>
  <si>
    <t>пшеница и ячмень яровые, участки заселенные саранчовыми</t>
  </si>
  <si>
    <t>0,075-0,12</t>
  </si>
  <si>
    <t>однолетние и злаковые и двудольные сорняки</t>
  </si>
  <si>
    <t>земли не с/х пользования</t>
  </si>
  <si>
    <t>Зерномакс, к.э. (10 л) + Магнум, в.д.г. (200 гр)</t>
  </si>
  <si>
    <t>0,015-0,025</t>
  </si>
  <si>
    <t xml:space="preserve">сахарная свекла </t>
  </si>
  <si>
    <t xml:space="preserve">однолетние двудольные сорняки </t>
  </si>
  <si>
    <t>0,8-1,2</t>
  </si>
  <si>
    <t>злаковые мухи, блошки, трипсы</t>
  </si>
  <si>
    <t>яблонная плодожорка, тли</t>
  </si>
  <si>
    <t>крестоцветные блошки</t>
  </si>
  <si>
    <t>0,4-0,6</t>
  </si>
  <si>
    <t>яблоневая плодожорка, листовертки</t>
  </si>
  <si>
    <t>рапс*</t>
  </si>
  <si>
    <t>для смеси с пестицидами</t>
  </si>
  <si>
    <t>0,4-0,8</t>
  </si>
  <si>
    <t>0,25-0,35</t>
  </si>
  <si>
    <t>однолетние и многолетние двудольные и злаковые сорняки</t>
  </si>
  <si>
    <r>
      <t>Магнум супер Микс (</t>
    </r>
    <r>
      <rPr>
        <sz val="14"/>
        <color indexed="8"/>
        <rFont val="Times New Roman"/>
        <family val="1"/>
        <charset val="204"/>
      </rPr>
      <t>Балерина, с.э</t>
    </r>
    <r>
      <rPr>
        <b/>
        <sz val="14"/>
        <color indexed="8"/>
        <rFont val="Times New Roman"/>
        <family val="1"/>
        <charset val="204"/>
      </rPr>
      <t xml:space="preserve">. </t>
    </r>
    <r>
      <rPr>
        <sz val="14"/>
        <color indexed="8"/>
        <rFont val="Times New Roman"/>
        <family val="1"/>
        <charset val="204"/>
      </rPr>
      <t>(10 л)</t>
    </r>
    <r>
      <rPr>
        <b/>
        <sz val="14"/>
        <color indexed="8"/>
        <rFont val="Times New Roman"/>
        <family val="1"/>
        <charset val="204"/>
      </rPr>
      <t xml:space="preserve"> +</t>
    </r>
    <r>
      <rPr>
        <sz val="14"/>
        <color indexed="8"/>
        <rFont val="Times New Roman"/>
        <family val="1"/>
        <charset val="204"/>
      </rPr>
      <t xml:space="preserve"> Магнум Супер, в.д.г</t>
    </r>
    <r>
      <rPr>
        <b/>
        <sz val="14"/>
        <color indexed="8"/>
        <rFont val="Times New Roman"/>
        <family val="1"/>
        <charset val="204"/>
      </rPr>
      <t xml:space="preserve">. </t>
    </r>
    <r>
      <rPr>
        <sz val="14"/>
        <color indexed="8"/>
        <rFont val="Times New Roman"/>
        <family val="1"/>
        <charset val="204"/>
      </rPr>
      <t>(300 гр))</t>
    </r>
  </si>
  <si>
    <r>
      <t>Зерномакс Супер (</t>
    </r>
    <r>
      <rPr>
        <sz val="14"/>
        <color indexed="8"/>
        <rFont val="Times New Roman"/>
        <family val="1"/>
        <charset val="204"/>
      </rPr>
      <t>Зерномакс, к.э</t>
    </r>
    <r>
      <rPr>
        <b/>
        <sz val="14"/>
        <color indexed="8"/>
        <rFont val="Times New Roman"/>
        <family val="1"/>
        <charset val="204"/>
      </rPr>
      <t xml:space="preserve">. </t>
    </r>
    <r>
      <rPr>
        <sz val="14"/>
        <color indexed="8"/>
        <rFont val="Times New Roman"/>
        <family val="1"/>
        <charset val="204"/>
      </rPr>
      <t>(10 л)</t>
    </r>
    <r>
      <rPr>
        <b/>
        <sz val="14"/>
        <color indexed="8"/>
        <rFont val="Times New Roman"/>
        <family val="1"/>
        <charset val="204"/>
      </rPr>
      <t xml:space="preserve"> + </t>
    </r>
    <r>
      <rPr>
        <sz val="14"/>
        <color indexed="8"/>
        <rFont val="Times New Roman"/>
        <family val="1"/>
        <charset val="204"/>
      </rPr>
      <t>Магнум Супер, в.д.г.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(300 гр))</t>
    </r>
  </si>
  <si>
    <r>
      <t xml:space="preserve">Плуггер Микс </t>
    </r>
    <r>
      <rPr>
        <sz val="14"/>
        <color indexed="8"/>
        <rFont val="Times New Roman"/>
        <family val="1"/>
        <charset val="204"/>
      </rPr>
      <t>(Балерина, с.э.     (10 л) + Плуггер, в.д.г. (300 гр.))</t>
    </r>
  </si>
  <si>
    <r>
      <t xml:space="preserve">Парадокс, </t>
    </r>
    <r>
      <rPr>
        <sz val="14"/>
        <color indexed="8"/>
        <rFont val="Times New Roman"/>
        <family val="1"/>
        <charset val="204"/>
      </rPr>
      <t>в.к. (имазамокс, 120 г/л)(10 л)+</t>
    </r>
    <r>
      <rPr>
        <b/>
        <sz val="14"/>
        <color indexed="8"/>
        <rFont val="Times New Roman"/>
        <family val="1"/>
        <charset val="204"/>
      </rPr>
      <t>Адью (10 л)</t>
    </r>
  </si>
  <si>
    <t>0,8 мл/м2</t>
  </si>
  <si>
    <t>поля, предназначенные под посев различных с/х культур (весенняя обработка)</t>
  </si>
  <si>
    <t>подсолнечник, картофель</t>
  </si>
  <si>
    <t>1,3-1,6</t>
  </si>
  <si>
    <t>1,6-2,0</t>
  </si>
  <si>
    <t>рапсовый цветоед, капустная моль, белянки</t>
  </si>
  <si>
    <t>0,5-0,9</t>
  </si>
  <si>
    <t>5,0-6,0</t>
  </si>
  <si>
    <t>0,01-0,02+ ПАВ АДЬЮ 150 мл/га</t>
  </si>
  <si>
    <t>0,12-0,15</t>
  </si>
  <si>
    <t>вредная черепашка, трипсы, тли</t>
  </si>
  <si>
    <t>1,3-1,7</t>
  </si>
  <si>
    <t>подсолнечник*</t>
  </si>
  <si>
    <t>соя*</t>
  </si>
  <si>
    <t>кукуруза*</t>
  </si>
  <si>
    <t>РЕГУЛЯТОР РОСТА:</t>
  </si>
  <si>
    <t>ПРОТРАВИТЕЛИ СЕМЯН:</t>
  </si>
  <si>
    <t>5,0-7,0</t>
  </si>
  <si>
    <t>однолетние и многолетние злаковые и двудольные сорняки, горчак розовый</t>
  </si>
  <si>
    <t xml:space="preserve">ТОО "Kazakhstan Green Resource", Республика Казахстан </t>
  </si>
  <si>
    <t xml:space="preserve">Генеральный директор :    </t>
  </si>
  <si>
    <t xml:space="preserve">                                                                    8-701 459 10 25</t>
  </si>
  <si>
    <t>Центральный офис: г.Астана, пр.Абая, д. 21, к.88</t>
  </si>
  <si>
    <t>подсолнечник, кукуруза</t>
  </si>
  <si>
    <t xml:space="preserve">Однолетние злаковые и двудольные сорняки
</t>
  </si>
  <si>
    <t xml:space="preserve">Наурзбеков Марат Сагындыкович             8-776 009 77 77 </t>
  </si>
  <si>
    <t xml:space="preserve">2020 год </t>
  </si>
  <si>
    <t xml:space="preserve">Норма расхода, л, кг </t>
  </si>
  <si>
    <t>Цена с НДС в руб./л, кг</t>
  </si>
  <si>
    <t>Затраты на 1 га, руб/га с НДС</t>
  </si>
  <si>
    <r>
      <t xml:space="preserve">Бункер, </t>
    </r>
    <r>
      <rPr>
        <sz val="16"/>
        <rFont val="Times New Roman"/>
        <family val="1"/>
        <charset val="204"/>
      </rPr>
      <t>в.с.к.(60 г/л тебуконазола)</t>
    </r>
  </si>
  <si>
    <t>пыльная и твердая головня, корневые гнили, плесневение семян</t>
  </si>
  <si>
    <t xml:space="preserve">антракноз, крапчатость
</t>
  </si>
  <si>
    <r>
      <t>Виал-Траст ,</t>
    </r>
    <r>
      <rPr>
        <sz val="16"/>
        <rFont val="Times New Roman"/>
        <family val="1"/>
        <charset val="204"/>
      </rPr>
      <t xml:space="preserve"> в.с.к.(80 г/л тиабендазола+60 г/л тебуконазола+ антистрессовые компоненты)</t>
    </r>
  </si>
  <si>
    <t>пыльная головня, корневые гнили, плесневение семян</t>
  </si>
  <si>
    <r>
      <t xml:space="preserve">Виал Трио, в.с.к.*                           </t>
    </r>
    <r>
      <rPr>
        <sz val="16"/>
        <rFont val="Times New Roman"/>
        <family val="1"/>
        <charset val="204"/>
      </rPr>
      <t>(прохлораз, 120 г/л + тиабендазол, 30 г/л + ципроконазол, 5 г/л)</t>
    </r>
  </si>
  <si>
    <t>0,8 - 1,2</t>
  </si>
  <si>
    <t>твердая, пыльная, каменная головня, фузариозные и гельминтоспориозные корневые гнили, плесневение семян</t>
  </si>
  <si>
    <r>
      <t>Витарос, в.с.к.</t>
    </r>
    <r>
      <rPr>
        <sz val="16"/>
        <rFont val="Times New Roman"/>
        <family val="1"/>
        <charset val="204"/>
      </rPr>
      <t xml:space="preserve"> (карбоксин, 198 г/л + тирам, 198 г/л)</t>
    </r>
  </si>
  <si>
    <t>2-2,5</t>
  </si>
  <si>
    <t>пшеница яровая и озимая</t>
  </si>
  <si>
    <t>пыльная, твердая и карликовая головня,  плесневание семян, корневые гнили</t>
  </si>
  <si>
    <r>
      <t xml:space="preserve">Оплот Трио, в.с.к.
</t>
    </r>
    <r>
      <rPr>
        <sz val="16"/>
        <rFont val="Times New Roman"/>
        <family val="1"/>
        <charset val="204"/>
      </rPr>
      <t>(90 г/л дифеноконазола + 
45 г/л тебуконазола + 40 г/л азоксистробина)</t>
    </r>
    <r>
      <rPr>
        <b/>
        <sz val="16"/>
        <rFont val="Times New Roman"/>
        <family val="1"/>
        <charset val="204"/>
      </rPr>
      <t xml:space="preserve">
</t>
    </r>
  </si>
  <si>
    <t>пыльная, твердая головня,  корневые гнили, септориоз, плесневение семян</t>
  </si>
  <si>
    <r>
      <t xml:space="preserve">Синклер, с.к.*                            </t>
    </r>
    <r>
      <rPr>
        <sz val="16"/>
        <rFont val="Times New Roman"/>
        <family val="1"/>
        <charset val="204"/>
      </rPr>
      <t>(флудиоксонил, 75 г/л)</t>
    </r>
  </si>
  <si>
    <t>горох, нут</t>
  </si>
  <si>
    <t>фузариозная корневая гниль, аскохитоз, плесневение семян</t>
  </si>
  <si>
    <t>ризоктониоз, фузариоз, виды парши</t>
  </si>
  <si>
    <r>
      <t xml:space="preserve">Табу, </t>
    </r>
    <r>
      <rPr>
        <sz val="16"/>
        <rFont val="Times New Roman"/>
        <family val="1"/>
        <charset val="204"/>
      </rPr>
      <t>в.с.к.(500 г/л имидаклоприда)</t>
    </r>
  </si>
  <si>
    <t>злаковые мухи, хлебные блошки, проволочники</t>
  </si>
  <si>
    <r>
      <t xml:space="preserve">Табу Нео, с.к.
</t>
    </r>
    <r>
      <rPr>
        <sz val="16"/>
        <rFont val="Times New Roman"/>
        <family val="1"/>
        <charset val="204"/>
      </rPr>
      <t>(имидаклоприд, 400 г/л + клотианидин, 100 г/л)</t>
    </r>
    <r>
      <rPr>
        <b/>
        <sz val="16"/>
        <rFont val="Times New Roman"/>
        <family val="1"/>
        <charset val="204"/>
      </rPr>
      <t xml:space="preserve">
</t>
    </r>
  </si>
  <si>
    <t>проволочники</t>
  </si>
  <si>
    <r>
      <t xml:space="preserve">Табу Супер, с.к.*            </t>
    </r>
    <r>
      <rPr>
        <sz val="16"/>
        <rFont val="Times New Roman"/>
        <family val="1"/>
        <charset val="204"/>
      </rPr>
      <t>(имидаклоприд, 400 г/л + фипронил, 100 г/л)</t>
    </r>
  </si>
  <si>
    <t>хлебные блошки, злаковые мухи, проволочники</t>
  </si>
  <si>
    <t>8,0</t>
  </si>
  <si>
    <t>проволочники, долгоносики</t>
  </si>
  <si>
    <t>проволочники, шведская муха, луговой мотылек</t>
  </si>
  <si>
    <t>0,3-0,5</t>
  </si>
  <si>
    <r>
      <t xml:space="preserve">ТМТД, </t>
    </r>
    <r>
      <rPr>
        <sz val="16"/>
        <rFont val="Times New Roman"/>
        <family val="1"/>
        <charset val="204"/>
      </rPr>
      <t>в.с.к.(400 г/л тирама)</t>
    </r>
  </si>
  <si>
    <t>твердая головня, корневые гнили, плесневение семян</t>
  </si>
  <si>
    <t>4079,7 в тн</t>
  </si>
  <si>
    <t>аскохитоз, фузариоз, бактериоз, пероноспороз, плесневание семян, черная ножка, фомоз, оливковая пятнистость</t>
  </si>
  <si>
    <r>
      <t xml:space="preserve">     </t>
    </r>
    <r>
      <rPr>
        <b/>
        <i/>
        <u/>
        <sz val="16"/>
        <rFont val="Times New Roman"/>
        <family val="1"/>
        <charset val="204"/>
      </rPr>
      <t>ГЕРБИЦИДЫ:</t>
    </r>
  </si>
  <si>
    <r>
      <t xml:space="preserve">Балерина, </t>
    </r>
    <r>
      <rPr>
        <sz val="16"/>
        <rFont val="Times New Roman"/>
        <family val="1"/>
        <charset val="204"/>
      </rPr>
      <t>с.э. (410 г/л сложного эфира + 7,4 г/л флорасулама)</t>
    </r>
  </si>
  <si>
    <t>пшеница озимая и яровая, ячмень яровой, кукуруза</t>
  </si>
  <si>
    <r>
      <t xml:space="preserve">Бомба, </t>
    </r>
    <r>
      <rPr>
        <sz val="16"/>
        <rFont val="Times New Roman"/>
        <family val="1"/>
        <charset val="204"/>
      </rPr>
      <t>в.д.г. (563 г/кг трибенурон-метила + 187 г/кг флорасулама)</t>
    </r>
  </si>
  <si>
    <r>
      <rPr>
        <b/>
        <sz val="16"/>
        <rFont val="Times New Roman"/>
        <family val="1"/>
        <charset val="204"/>
      </rPr>
      <t>Бицепс-Гарант</t>
    </r>
    <r>
      <rPr>
        <sz val="16"/>
        <rFont val="Times New Roman"/>
        <family val="1"/>
        <charset val="204"/>
      </rPr>
      <t>, к.э. (70+90+110 г/л десмедифам+фенмедифам+этофумезат)</t>
    </r>
  </si>
  <si>
    <r>
      <rPr>
        <b/>
        <sz val="16"/>
        <rFont val="Times New Roman"/>
        <family val="1"/>
        <charset val="204"/>
      </rPr>
      <t xml:space="preserve">Бицепс 22, </t>
    </r>
    <r>
      <rPr>
        <sz val="16"/>
        <rFont val="Times New Roman"/>
        <family val="1"/>
        <charset val="204"/>
      </rPr>
      <t>с.к.*                                              (Десмедифам, 100 г/л + фенмедифам, 100 г/л)</t>
    </r>
  </si>
  <si>
    <t>1,0-3,0</t>
  </si>
  <si>
    <t>свекла сахарная</t>
  </si>
  <si>
    <t>однолетне двудольные сорняки, в т.ч. виды щирицы</t>
  </si>
  <si>
    <r>
      <rPr>
        <b/>
        <sz val="16"/>
        <rFont val="Times New Roman"/>
        <family val="1"/>
        <charset val="204"/>
      </rPr>
      <t>Гаур,</t>
    </r>
    <r>
      <rPr>
        <sz val="16"/>
        <rFont val="Times New Roman"/>
        <family val="1"/>
        <charset val="204"/>
      </rPr>
      <t xml:space="preserve"> к.э.*                                           (оксифлуорфен, 240 г/л)</t>
    </r>
  </si>
  <si>
    <t>однолетние двудольные сорняки</t>
  </si>
  <si>
    <t>0,5-1,0</t>
  </si>
  <si>
    <r>
      <rPr>
        <b/>
        <sz val="16"/>
        <rFont val="Times New Roman"/>
        <family val="1"/>
        <charset val="204"/>
      </rPr>
      <t>Гайтан</t>
    </r>
    <r>
      <rPr>
        <sz val="16"/>
        <rFont val="Times New Roman"/>
        <family val="1"/>
        <charset val="204"/>
      </rPr>
      <t>, к.э.*                                                     (пендиметалин, 330 г/л)</t>
    </r>
  </si>
  <si>
    <t>2,3-4,5</t>
  </si>
  <si>
    <t>3,0-6,0</t>
  </si>
  <si>
    <r>
      <t>Гербитокс,</t>
    </r>
    <r>
      <rPr>
        <sz val="16"/>
        <rFont val="Times New Roman"/>
        <family val="1"/>
        <charset val="204"/>
      </rPr>
      <t xml:space="preserve"> в.р.к. (500 г/л кислоты МЦПА в виде калиевой и натриевой солей)</t>
    </r>
  </si>
  <si>
    <t>однолетние и некоторые многолетние двудольные, в т.ч. осот, бодяк и др. сорняки</t>
  </si>
  <si>
    <r>
      <rPr>
        <b/>
        <sz val="16"/>
        <rFont val="Times New Roman"/>
        <family val="1"/>
        <charset val="204"/>
      </rPr>
      <t xml:space="preserve">Гербитокс-Л, в.р.к. </t>
    </r>
    <r>
      <rPr>
        <sz val="16"/>
        <rFont val="Times New Roman"/>
        <family val="1"/>
        <charset val="204"/>
      </rPr>
      <t xml:space="preserve">(МЦПА кислота в виде смеси калиевой и натриевой солей,
300 г/л)
</t>
    </r>
  </si>
  <si>
    <t xml:space="preserve">Однолетние двудольные сорняки
</t>
  </si>
  <si>
    <r>
      <t>Горгон,</t>
    </r>
    <r>
      <rPr>
        <sz val="16"/>
        <rFont val="Times New Roman"/>
        <family val="1"/>
        <charset val="204"/>
      </rPr>
      <t xml:space="preserve"> в.р.к. (350 г/л МЦПА кислоты + 150 г/л пиклорама)</t>
    </r>
  </si>
  <si>
    <t>пары, земли несельскохозяйственного назначния</t>
  </si>
  <si>
    <r>
      <t xml:space="preserve">Граминион, </t>
    </r>
    <r>
      <rPr>
        <sz val="16"/>
        <rFont val="Times New Roman"/>
        <family val="1"/>
        <charset val="204"/>
      </rPr>
      <t>к.э.* (клетодим, 150 г/л)</t>
    </r>
  </si>
  <si>
    <t>рапс, соя, свекла сахарная, картофель, лен, горох, подсолнечник</t>
  </si>
  <si>
    <t>одноление злакоые сорняки</t>
  </si>
  <si>
    <t>многолетние злаковые сорняки, в т.ч. пырей ползучий</t>
  </si>
  <si>
    <r>
      <t xml:space="preserve">Грейдер, </t>
    </r>
    <r>
      <rPr>
        <sz val="16"/>
        <rFont val="Times New Roman"/>
        <family val="1"/>
        <charset val="204"/>
      </rPr>
      <t>в.г.р.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(имазапир, 250 г/л)</t>
    </r>
  </si>
  <si>
    <t>Подсолнечник и рапс (сорта и гибриды, устояйчивые к гербицидам на основе имидазолинонам). Применяется в смеси с 0,3 л/га  Парадокса, в.р.к.</t>
  </si>
  <si>
    <r>
      <t xml:space="preserve">Деметра, </t>
    </r>
    <r>
      <rPr>
        <sz val="16"/>
        <rFont val="Times New Roman"/>
        <family val="1"/>
        <charset val="204"/>
      </rPr>
      <t>к.э. (350 г/л флуроксипира кислоты)</t>
    </r>
  </si>
  <si>
    <t>однолетние  и многолетние двудольные сорняки, в т.ч. подмаренник цепкий, горец вьюнковый, вьюнок полевой</t>
  </si>
  <si>
    <r>
      <t>Деймос,</t>
    </r>
    <r>
      <rPr>
        <sz val="16"/>
        <rFont val="Times New Roman"/>
        <family val="1"/>
        <charset val="204"/>
      </rPr>
      <t xml:space="preserve"> в.р.к.*                                   (диметиламинная соль дикамбы к-ты, 480 г/л)</t>
    </r>
  </si>
  <si>
    <t>0,25-0,3</t>
  </si>
  <si>
    <t>однолетние двудольные, в том числе устойчивые к 2,4-Д, и некоторые многолетние двудольные сорняки, включая виды осота</t>
  </si>
  <si>
    <t>кукруза</t>
  </si>
  <si>
    <r>
      <t xml:space="preserve">Дублон Голд  </t>
    </r>
    <r>
      <rPr>
        <sz val="16"/>
        <rFont val="Times New Roman"/>
        <family val="1"/>
        <charset val="204"/>
      </rPr>
      <t>в.д.г. (600 г/кг никосульфурона+ 150 г/кг тифенсульфурон-метила)</t>
    </r>
  </si>
  <si>
    <r>
      <t xml:space="preserve">Зерномакс, </t>
    </r>
    <r>
      <rPr>
        <sz val="16"/>
        <rFont val="Times New Roman"/>
        <family val="1"/>
        <charset val="204"/>
      </rPr>
      <t>к.э. (500 г/л сложного 2-этилгексилового эфира 2,4-Д кислоты)</t>
    </r>
  </si>
  <si>
    <r>
      <t xml:space="preserve">Квикстеп, мас.к.э. </t>
    </r>
    <r>
      <rPr>
        <sz val="16"/>
        <rFont val="Times New Roman"/>
        <family val="1"/>
        <charset val="204"/>
      </rPr>
      <t>(130 г/л клетодима + 80 г/л галоксифоп-Р-метила)</t>
    </r>
  </si>
  <si>
    <t>лук, соя, сахарная свекла, рапс, лен масличный, подсолнечник*, картофель*</t>
  </si>
  <si>
    <r>
      <t xml:space="preserve">Корсар, </t>
    </r>
    <r>
      <rPr>
        <sz val="16"/>
        <rFont val="Times New Roman"/>
        <family val="1"/>
        <charset val="204"/>
      </rPr>
      <t>в.р.к. (480 г/л бентазона)</t>
    </r>
  </si>
  <si>
    <r>
      <t xml:space="preserve">Лазурит Супер, </t>
    </r>
    <r>
      <rPr>
        <sz val="16"/>
        <rFont val="Times New Roman"/>
        <family val="1"/>
        <charset val="204"/>
      </rPr>
      <t>к.н.э. (270 г/л метрибузина)</t>
    </r>
  </si>
  <si>
    <r>
      <t xml:space="preserve">Лазурит СП </t>
    </r>
    <r>
      <rPr>
        <sz val="16"/>
        <rFont val="Times New Roman"/>
        <family val="1"/>
        <charset val="204"/>
      </rPr>
      <t>(метрибузин,700 г/кг)</t>
    </r>
  </si>
  <si>
    <r>
      <t>Ластик Топ,</t>
    </r>
    <r>
      <rPr>
        <sz val="16"/>
        <rFont val="Times New Roman"/>
        <family val="1"/>
        <charset val="204"/>
      </rPr>
      <t xml:space="preserve"> м.к.э. (90 г/л феноксапроп-П-этила+60 г/л клодинафоп-пропаргила+40 г/л клоквинтосет-мексила)</t>
    </r>
  </si>
  <si>
    <r>
      <t>Ластик экстра к.</t>
    </r>
    <r>
      <rPr>
        <sz val="16"/>
        <rFont val="Times New Roman"/>
        <family val="1"/>
        <charset val="204"/>
      </rPr>
      <t>э. (70 г/л феноксапроп-П-этила + 40 г/л антидота клоквинтосет-мексила)</t>
    </r>
  </si>
  <si>
    <t>однолетние злаковые сорняки (овсюг обыкновенный, просо куриное, виды щетинника)</t>
  </si>
  <si>
    <r>
      <t xml:space="preserve">Магнум, </t>
    </r>
    <r>
      <rPr>
        <sz val="16"/>
        <rFont val="Times New Roman"/>
        <family val="1"/>
        <charset val="204"/>
      </rPr>
      <t>в.д.г. (600 г/кг метсульфурон-метила)</t>
    </r>
  </si>
  <si>
    <t>однолетние и некоторые многолетние двудольные, в т.ч. осот, бодяк и другие сорняки</t>
  </si>
  <si>
    <r>
      <t>Магнум Супер,</t>
    </r>
    <r>
      <rPr>
        <sz val="16"/>
        <rFont val="Times New Roman"/>
        <family val="1"/>
        <charset val="204"/>
      </rPr>
      <t xml:space="preserve"> в.д.г. (300 г/кг метсульфурон-метила + 450 г/кг трибенурон-метила)</t>
    </r>
  </si>
  <si>
    <t>однолетние в т.ч. устойчивые к 2,4Д виды, некоторые многолетние двудольные,в т.ч. осот, бодяк, подмаренник цепкий, горец и т.д</t>
  </si>
  <si>
    <r>
      <t>Миура,</t>
    </r>
    <r>
      <rPr>
        <sz val="16"/>
        <rFont val="Times New Roman"/>
        <family val="1"/>
        <charset val="204"/>
      </rPr>
      <t xml:space="preserve"> к.э. (125 г/л хизалофоп-П-этила)</t>
    </r>
  </si>
  <si>
    <r>
      <t xml:space="preserve">Мортира, в.д.г. </t>
    </r>
    <r>
      <rPr>
        <sz val="16"/>
        <rFont val="Times New Roman"/>
        <family val="1"/>
        <charset val="204"/>
      </rPr>
      <t xml:space="preserve">(трибенурон-метил, 
750 г/кг)
</t>
    </r>
  </si>
  <si>
    <t xml:space="preserve">Пшеница яровая, ячмень яровой
</t>
  </si>
  <si>
    <t xml:space="preserve">Однолетние и многолетние двудольные сорняки
</t>
  </si>
  <si>
    <r>
      <t xml:space="preserve">Парадокс, в.р.к. </t>
    </r>
    <r>
      <rPr>
        <sz val="16"/>
        <rFont val="Times New Roman"/>
        <family val="1"/>
        <charset val="204"/>
      </rPr>
      <t>(120 г/л имазамокса)</t>
    </r>
  </si>
  <si>
    <t xml:space="preserve">подсолнечник и рапс (сорта и гибриды, устояйчивые к гербицидам на основе имидазолинона). Применяется в смеси с 0,075 л/га  Грейдера, в.г.р. </t>
  </si>
  <si>
    <t>Парадокс, в.к. (имазамокс, 120 г/л) (5л) + Грейдер, в.г.р. (имазапир, 250 г/л) (1 л) +Адью (5л)</t>
  </si>
  <si>
    <r>
      <t xml:space="preserve">Пилот, в.с.к. </t>
    </r>
    <r>
      <rPr>
        <sz val="16"/>
        <rFont val="Times New Roman"/>
        <family val="1"/>
        <charset val="204"/>
      </rPr>
      <t>(метамитрон, 700 г/л)</t>
    </r>
    <r>
      <rPr>
        <b/>
        <sz val="16"/>
        <rFont val="Times New Roman"/>
        <family val="1"/>
        <charset val="204"/>
      </rPr>
      <t xml:space="preserve">
</t>
    </r>
  </si>
  <si>
    <t xml:space="preserve">Однолетние двудольные 
сорняки
</t>
  </si>
  <si>
    <r>
      <t>Плуггер,</t>
    </r>
    <r>
      <rPr>
        <sz val="16"/>
        <rFont val="Times New Roman"/>
        <family val="1"/>
        <charset val="204"/>
      </rPr>
      <t xml:space="preserve"> в.д.г. (трибенурон-метил, 625 г/кг+метсульфурон-метил, 125 г/кг)</t>
    </r>
  </si>
  <si>
    <r>
      <t xml:space="preserve">Симба, к.э.
</t>
    </r>
    <r>
      <rPr>
        <sz val="16"/>
        <rFont val="Times New Roman"/>
        <family val="1"/>
        <charset val="204"/>
      </rPr>
      <t xml:space="preserve">(960 г/л С-метолахлора)
</t>
    </r>
  </si>
  <si>
    <t>соя, кукуруза, рапс, подсолнечник</t>
  </si>
  <si>
    <t xml:space="preserve">Однолетние злаковые и некоторые двудольные сорняки
</t>
  </si>
  <si>
    <r>
      <t xml:space="preserve">Суховей, в.р. </t>
    </r>
    <r>
      <rPr>
        <sz val="16"/>
        <rFont val="Times New Roman"/>
        <family val="1"/>
        <charset val="204"/>
      </rPr>
      <t>(150 г/л диквата)</t>
    </r>
  </si>
  <si>
    <t>поля предназначенные под посев яровых культур</t>
  </si>
  <si>
    <r>
      <t xml:space="preserve">Торнадо 500, </t>
    </r>
    <r>
      <rPr>
        <sz val="16"/>
        <rFont val="Times New Roman"/>
        <family val="1"/>
        <charset val="204"/>
      </rPr>
      <t>в.р. (изопропиламинная соль глифосата кислоты, 500 г/л глифосата кислоты)</t>
    </r>
  </si>
  <si>
    <t>поля, предназначенные под посев различных с/х культур (осенняя обработка)</t>
  </si>
  <si>
    <r>
      <t xml:space="preserve">Торнадо 540, в.р. </t>
    </r>
    <r>
      <rPr>
        <sz val="16"/>
        <rFont val="Times New Roman"/>
        <family val="1"/>
        <charset val="204"/>
      </rPr>
      <t>(Калиевая соль глифосата кислоты, 540 г/л глифосата)</t>
    </r>
  </si>
  <si>
    <r>
      <t xml:space="preserve">Трицепс, </t>
    </r>
    <r>
      <rPr>
        <sz val="16"/>
        <rFont val="Times New Roman"/>
        <family val="1"/>
        <charset val="204"/>
      </rPr>
      <t>в.д.г. (750 г/кг трифсульфурон-метила)</t>
    </r>
  </si>
  <si>
    <r>
      <t xml:space="preserve">Фабиан, </t>
    </r>
    <r>
      <rPr>
        <sz val="16"/>
        <rFont val="Times New Roman"/>
        <family val="1"/>
        <charset val="204"/>
      </rPr>
      <t>в.д.г. (450 г/кг имазетапира + 150 г/л хлоримурон-этила)</t>
    </r>
  </si>
  <si>
    <r>
      <t>Хакер,</t>
    </r>
    <r>
      <rPr>
        <sz val="16"/>
        <rFont val="Times New Roman"/>
        <family val="1"/>
        <charset val="204"/>
      </rPr>
      <t xml:space="preserve"> в.р.г. (клопиралид 750 г/кг)</t>
    </r>
  </si>
  <si>
    <t>0,06-0,15</t>
  </si>
  <si>
    <t>пшеница яровая*, ячмень яровой*</t>
  </si>
  <si>
    <t>виды осота, ромашки, горца, полыни</t>
  </si>
  <si>
    <t>однолетние и многолетние двудольные сорняки, в т.ч. виды ромашки, горца.бодяка и осота</t>
  </si>
  <si>
    <t>газонные травы*</t>
  </si>
  <si>
    <r>
      <t xml:space="preserve">Эгида, с.к.* </t>
    </r>
    <r>
      <rPr>
        <sz val="16"/>
        <rFont val="Times New Roman"/>
        <family val="1"/>
        <charset val="204"/>
      </rPr>
      <t>(мезотрион, 480 г/л)</t>
    </r>
  </si>
  <si>
    <t>0,15-0,3</t>
  </si>
  <si>
    <r>
      <t xml:space="preserve">Эрудит, с.э. </t>
    </r>
    <r>
      <rPr>
        <sz val="16"/>
        <rFont val="Times New Roman"/>
        <family val="1"/>
        <charset val="204"/>
      </rPr>
      <t>(312,5 г/л С-метолахлора + 187,5 г/л тербутилазина)</t>
    </r>
    <r>
      <rPr>
        <b/>
        <sz val="16"/>
        <rFont val="Times New Roman"/>
        <family val="1"/>
        <charset val="204"/>
      </rPr>
      <t xml:space="preserve">
</t>
    </r>
  </si>
  <si>
    <r>
      <t xml:space="preserve">Эскудо, </t>
    </r>
    <r>
      <rPr>
        <sz val="16"/>
        <rFont val="Times New Roman"/>
        <family val="1"/>
        <charset val="204"/>
      </rPr>
      <t>в.д.г. (500 г/кг римсульфурона</t>
    </r>
    <r>
      <rPr>
        <b/>
        <sz val="16"/>
        <rFont val="Times New Roman"/>
        <family val="1"/>
        <charset val="204"/>
      </rPr>
      <t>)</t>
    </r>
  </si>
  <si>
    <r>
      <t xml:space="preserve">Эсток, в.д.г.*                           </t>
    </r>
    <r>
      <rPr>
        <sz val="16"/>
        <rFont val="Times New Roman"/>
        <family val="1"/>
        <charset val="204"/>
      </rPr>
      <t xml:space="preserve"> (этаметсульфурон-метил, 750 г/кг)</t>
    </r>
  </si>
  <si>
    <t>0,015 - 0,025</t>
  </si>
  <si>
    <r>
      <t xml:space="preserve">     </t>
    </r>
    <r>
      <rPr>
        <b/>
        <i/>
        <u/>
        <sz val="16"/>
        <rFont val="Times New Roman"/>
        <family val="1"/>
        <charset val="204"/>
      </rPr>
      <t>ФУНГИЦИДЫ:</t>
    </r>
  </si>
  <si>
    <r>
      <rPr>
        <b/>
        <sz val="16"/>
        <rFont val="Times New Roman"/>
        <family val="1"/>
        <charset val="204"/>
      </rPr>
      <t xml:space="preserve">Бенорад, с.п. </t>
    </r>
    <r>
      <rPr>
        <sz val="16"/>
        <rFont val="Times New Roman"/>
        <family val="1"/>
        <charset val="204"/>
      </rPr>
      <t xml:space="preserve">(500 г/кг беномила)
</t>
    </r>
  </si>
  <si>
    <t xml:space="preserve">серая гниль, белая гниль, фомоз
</t>
  </si>
  <si>
    <t>Пирикуляриоз</t>
  </si>
  <si>
    <r>
      <t xml:space="preserve">Колосаль, </t>
    </r>
    <r>
      <rPr>
        <sz val="16"/>
        <rFont val="Times New Roman"/>
        <family val="1"/>
        <charset val="204"/>
      </rPr>
      <t>к.э. (250 г/л тебуконазола)</t>
    </r>
  </si>
  <si>
    <t>ржавчина бурая, желтая, стеблевая, мучнистая роса, септориоз, гельминтоспориозная пятнистость</t>
  </si>
  <si>
    <r>
      <t>Колосаль Про,</t>
    </r>
    <r>
      <rPr>
        <sz val="16"/>
        <rFont val="Times New Roman"/>
        <family val="1"/>
        <charset val="204"/>
      </rPr>
      <t xml:space="preserve"> к.н.э. (300 г/л пропиконазола + 200 г/л тебуконазола)</t>
    </r>
  </si>
  <si>
    <t>бурая, желтая и стеблевая ржавчина, мучнистая роса, септориоз, гельминтоспориозная пятнистость</t>
  </si>
  <si>
    <t>церкоспороз, мучнистая роса, фомоз</t>
  </si>
  <si>
    <t>аскохитоз</t>
  </si>
  <si>
    <t>горох*, чечевица*</t>
  </si>
  <si>
    <t>аскохитоз, мучнистая роса, антракноз, ржавчина</t>
  </si>
  <si>
    <r>
      <t>Кредо, с.к.*</t>
    </r>
    <r>
      <rPr>
        <sz val="16"/>
        <rFont val="Times New Roman"/>
        <family val="1"/>
        <charset val="204"/>
      </rPr>
      <t xml:space="preserve"> (карбендазим, 500 г/л)</t>
    </r>
  </si>
  <si>
    <t>бурая, желтая, стеблевая ржавчина, септориоз</t>
  </si>
  <si>
    <t>0,3-0,6</t>
  </si>
  <si>
    <t>корневые гнили, предотвращение полегния</t>
  </si>
  <si>
    <t>0,5-0,6</t>
  </si>
  <si>
    <t>мучнистая роса, гельминтоспориоз</t>
  </si>
  <si>
    <t>альтернариоз, мучнистая роса</t>
  </si>
  <si>
    <t>белая гниль, серая гниль, фомоз, мучнистая роса</t>
  </si>
  <si>
    <r>
      <t xml:space="preserve">Кумир, с.к. </t>
    </r>
    <r>
      <rPr>
        <sz val="16"/>
        <rFont val="Times New Roman"/>
        <family val="1"/>
        <charset val="204"/>
      </rPr>
      <t>(345 г/л сульфата меди трехосновного)</t>
    </r>
    <r>
      <rPr>
        <b/>
        <sz val="16"/>
        <rFont val="Times New Roman"/>
        <family val="1"/>
        <charset val="204"/>
      </rPr>
      <t xml:space="preserve">
</t>
    </r>
  </si>
  <si>
    <t>парша</t>
  </si>
  <si>
    <t>картофель*</t>
  </si>
  <si>
    <t>фитофтороз, макроспориоз, ризоктониоз</t>
  </si>
  <si>
    <t>томаты*</t>
  </si>
  <si>
    <t>фитофтороз</t>
  </si>
  <si>
    <r>
      <t>Метаксил,</t>
    </r>
    <r>
      <rPr>
        <sz val="16"/>
        <rFont val="Times New Roman"/>
        <family val="1"/>
        <charset val="204"/>
      </rPr>
      <t xml:space="preserve"> с.п. (640 г/кг манкоцеба + 80 г/кг металаксила)</t>
    </r>
  </si>
  <si>
    <t>картофель, лук, огурцы и томаты открытого грунта, виноградники</t>
  </si>
  <si>
    <t>фитофтороз, макроспориоз, пероноспороз, альтернариоз, милдью</t>
  </si>
  <si>
    <r>
      <t xml:space="preserve">Ордан, </t>
    </r>
    <r>
      <rPr>
        <sz val="16"/>
        <rFont val="Times New Roman"/>
        <family val="1"/>
        <charset val="204"/>
      </rPr>
      <t>с.п. (689 г/кг хлорокиси меди + 42 г/кг цимаксонила)</t>
    </r>
  </si>
  <si>
    <r>
      <t xml:space="preserve">Раёк, </t>
    </r>
    <r>
      <rPr>
        <sz val="16"/>
        <rFont val="Times New Roman"/>
        <family val="1"/>
        <charset val="204"/>
      </rPr>
      <t>к.э. (250 г/л дифеноконазола)</t>
    </r>
  </si>
  <si>
    <r>
      <t xml:space="preserve">Гиацинт, с.к.* </t>
    </r>
    <r>
      <rPr>
        <sz val="16"/>
        <rFont val="Times New Roman"/>
        <family val="1"/>
        <charset val="204"/>
      </rPr>
      <t>(хлороталонил, 500 г/л)</t>
    </r>
  </si>
  <si>
    <t>2,2-3,0</t>
  </si>
  <si>
    <t>3,0-3,3</t>
  </si>
  <si>
    <t>лук (семенники)</t>
  </si>
  <si>
    <r>
      <t xml:space="preserve">Сикурс, с.к. </t>
    </r>
    <r>
      <rPr>
        <sz val="16"/>
        <rFont val="Times New Roman"/>
        <family val="1"/>
        <charset val="204"/>
      </rPr>
      <t xml:space="preserve">(240 г/л азоксистробина + 
160 г/л эпоксиконазола)
</t>
    </r>
  </si>
  <si>
    <t>Бурая ржавчина, стеблевая ржавчина, септориоз листьев и колоса, мучнистая роса, пиренофороз</t>
  </si>
  <si>
    <t>фомоз, ржавчина, ложная мучнистаяроса, мучнистая роса</t>
  </si>
  <si>
    <t>аскохитоз, фузариоз, антракноз, серая гниль, ржавчина, мучнистая роса</t>
  </si>
  <si>
    <r>
      <t xml:space="preserve">     </t>
    </r>
    <r>
      <rPr>
        <b/>
        <i/>
        <u/>
        <sz val="16"/>
        <rFont val="Times New Roman"/>
        <family val="1"/>
        <charset val="204"/>
      </rPr>
      <t>ИНСЕКТИЦИДЫ:</t>
    </r>
  </si>
  <si>
    <r>
      <t xml:space="preserve">Алиот, к.э. </t>
    </r>
    <r>
      <rPr>
        <sz val="16"/>
        <rFont val="Times New Roman"/>
        <family val="1"/>
        <charset val="204"/>
      </rPr>
      <t>(570 г/л малатиона )</t>
    </r>
  </si>
  <si>
    <t>луговой мотылек, кукурузный мотылек, хлопковая совка</t>
  </si>
  <si>
    <t>луговой мотылек, озимая и хлопковая совка, долгоносики</t>
  </si>
  <si>
    <t>0,6-1,0</t>
  </si>
  <si>
    <t>луговый мотылек, хлопковая совка</t>
  </si>
  <si>
    <t>капустная моль, луговый мотылек</t>
  </si>
  <si>
    <t>Незагруженные складские помещения</t>
  </si>
  <si>
    <t xml:space="preserve">Вредители запасов
</t>
  </si>
  <si>
    <r>
      <t xml:space="preserve">Борей, </t>
    </r>
    <r>
      <rPr>
        <sz val="16"/>
        <rFont val="Times New Roman"/>
        <family val="1"/>
        <charset val="204"/>
      </rPr>
      <t>с.к. (150 г/л имидаклоприда + 50 г/л лямбда-цигалотрина)</t>
    </r>
  </si>
  <si>
    <t>вредная черепашка, хлебные блошки, злаковые мухи</t>
  </si>
  <si>
    <t xml:space="preserve">гороховая зерновка, тли
</t>
  </si>
  <si>
    <t>яблонная плодожорка, листовертки</t>
  </si>
  <si>
    <r>
      <t xml:space="preserve">Борей Нео, с.к. 
</t>
    </r>
    <r>
      <rPr>
        <sz val="16"/>
        <rFont val="Times New Roman"/>
        <family val="1"/>
        <charset val="204"/>
      </rPr>
      <t>(125 г/л альфа-циперметрина +  
100 г/л имидаклоприда + 
50 г/л клотианидина)</t>
    </r>
  </si>
  <si>
    <t>рапсовый цветоед, капустная моль</t>
  </si>
  <si>
    <t>Свекловичные блошки, долгоносики, тли, луговой мотылек</t>
  </si>
  <si>
    <r>
      <t xml:space="preserve">Брейк, </t>
    </r>
    <r>
      <rPr>
        <sz val="16"/>
        <rFont val="Times New Roman"/>
        <family val="1"/>
        <charset val="204"/>
      </rPr>
      <t>м.э. (100 г/л лямбда-цигалотрина)</t>
    </r>
  </si>
  <si>
    <t xml:space="preserve">серая зерновая совка, вредная черепашка </t>
  </si>
  <si>
    <t>гессенская и шведская мухи</t>
  </si>
  <si>
    <t>хлопковая совка, карадрина, тли, паутинный клещ</t>
  </si>
  <si>
    <t>паутинный клещ, луговой мотылек, соевая плодожорка</t>
  </si>
  <si>
    <t xml:space="preserve">итальянский прус, азиатская саранча, мароккская саранча </t>
  </si>
  <si>
    <r>
      <t xml:space="preserve">Герольд, </t>
    </r>
    <r>
      <rPr>
        <sz val="16"/>
        <rFont val="Times New Roman"/>
        <family val="1"/>
        <charset val="204"/>
      </rPr>
      <t>в.с.к. (240 г/л дифлубензурона)</t>
    </r>
  </si>
  <si>
    <t>древесные насаждения</t>
  </si>
  <si>
    <t>итальянский прус, мароккская и азиатская саранча</t>
  </si>
  <si>
    <r>
      <t xml:space="preserve">Сирокко, </t>
    </r>
    <r>
      <rPr>
        <sz val="16"/>
        <rFont val="Times New Roman"/>
        <family val="1"/>
        <charset val="204"/>
      </rPr>
      <t>к.э. (400 г/л диметоата)</t>
    </r>
  </si>
  <si>
    <t xml:space="preserve">долгоносики, тли
</t>
  </si>
  <si>
    <r>
      <t>Сэмпай, к.э.* (</t>
    </r>
    <r>
      <rPr>
        <sz val="16"/>
        <rFont val="Times New Roman"/>
        <family val="1"/>
        <charset val="204"/>
      </rPr>
      <t>50 г/л эсфенвалерат)</t>
    </r>
  </si>
  <si>
    <t>озимая и хлопковая совка</t>
  </si>
  <si>
    <t>капустная моль</t>
  </si>
  <si>
    <t>лён</t>
  </si>
  <si>
    <t>капустная моль, белянки, совки</t>
  </si>
  <si>
    <t>белокрылка, хлопковая совка</t>
  </si>
  <si>
    <r>
      <t xml:space="preserve">Танрек, </t>
    </r>
    <r>
      <rPr>
        <sz val="16"/>
        <rFont val="Times New Roman"/>
        <family val="1"/>
        <charset val="204"/>
      </rPr>
      <t>в.р.к. (200 г/л имидаклоприда)</t>
    </r>
  </si>
  <si>
    <t>гессенская и шведская мухи, блошки, пшеничный трипс, серая зерновая совка, итальянский прус, мароккская саранча, азиатская саранча</t>
  </si>
  <si>
    <r>
      <t>Шарпей,</t>
    </r>
    <r>
      <rPr>
        <sz val="16"/>
        <rFont val="Times New Roman"/>
        <family val="1"/>
        <charset val="204"/>
      </rPr>
      <t xml:space="preserve"> м.э. (циперметрина 250 г/л)</t>
    </r>
  </si>
  <si>
    <t xml:space="preserve">вредная черепашка, злаковая тля, тля, хлебный клопик, пьявица, блошки, хлебные трипсы, саранчовые </t>
  </si>
  <si>
    <r>
      <t xml:space="preserve">Авгурон Экстра, </t>
    </r>
    <r>
      <rPr>
        <sz val="16"/>
        <rFont val="Times New Roman"/>
        <family val="1"/>
        <charset val="204"/>
      </rPr>
      <t>с.к. (тидиазурона 360 г/л + диурона 180 г/л)</t>
    </r>
  </si>
  <si>
    <r>
      <t xml:space="preserve">Адью, ж </t>
    </r>
    <r>
      <rPr>
        <sz val="16"/>
        <rFont val="Times New Roman"/>
        <family val="1"/>
        <charset val="204"/>
      </rPr>
      <t>(этоксилат изодецилового спирта 900 г/л)</t>
    </r>
  </si>
  <si>
    <t>0,1 % (100 мл на 100 л рабочего раствора)</t>
  </si>
  <si>
    <r>
      <t xml:space="preserve">Аллюр, </t>
    </r>
    <r>
      <rPr>
        <sz val="16"/>
        <rFont val="Times New Roman"/>
        <family val="1"/>
        <charset val="204"/>
      </rPr>
      <t>ж (производные жирных аминов, 50%+полисорбат 20%)</t>
    </r>
  </si>
  <si>
    <r>
      <t xml:space="preserve">Галоп, Ж </t>
    </r>
    <r>
      <rPr>
        <sz val="16"/>
        <rFont val="Times New Roman"/>
        <family val="1"/>
        <charset val="204"/>
      </rPr>
      <t>(комбинация сложных эфиров жирных кислот, анионного сложного эфира алкилполигликозида, этоксилированных жирных спиртов и хьюмектантов)</t>
    </r>
  </si>
  <si>
    <t>0,25 % (250 мл на 100 л рабочего раствора)</t>
  </si>
  <si>
    <r>
      <t xml:space="preserve">Полифем, Ж </t>
    </r>
    <r>
      <rPr>
        <sz val="16"/>
        <rFont val="Times New Roman"/>
        <family val="1"/>
        <charset val="204"/>
      </rPr>
      <t>(органомодифицированные силоксаны)</t>
    </r>
  </si>
  <si>
    <t>0,05 % (50 мл на 100 л рабочего раствора)</t>
  </si>
  <si>
    <t xml:space="preserve">КОНДИЦИОНЕР ДЛЯ ВОДЫ </t>
  </si>
  <si>
    <r>
      <t xml:space="preserve">Сойлент, в.р. </t>
    </r>
    <r>
      <rPr>
        <sz val="16"/>
        <rFont val="Times New Roman"/>
        <family val="1"/>
        <charset val="204"/>
      </rPr>
      <t>(кислота ортофосфорная, поверхностно-активное вещество и индикаторный краситель)</t>
    </r>
  </si>
  <si>
    <t xml:space="preserve">1 л. препарата на 1 тн рабочего раствора </t>
  </si>
  <si>
    <t>предназначен для улучшения качества воды, используемой для приготовления рабочих растворов пестицидов.</t>
  </si>
  <si>
    <t>ортофосфорная кислота связывает соли кальция, магния, железа и некоторых других металлов, растворенные в воде, используемой для приготовления рабочих растворов. Поэтому они не образуют малорастворимые соединения с д. в. препаратов.</t>
  </si>
  <si>
    <r>
      <rPr>
        <b/>
        <sz val="16"/>
        <rFont val="Times New Roman"/>
        <family val="1"/>
        <charset val="204"/>
      </rPr>
      <t>Рэгги, в.р.к.</t>
    </r>
    <r>
      <rPr>
        <sz val="16"/>
        <rFont val="Times New Roman"/>
        <family val="1"/>
        <charset val="204"/>
      </rPr>
      <t xml:space="preserve">
(хлормекватхлорид, 750 г/л)
</t>
    </r>
  </si>
  <si>
    <t>Предотвращение полегания, повышение урожайности</t>
  </si>
  <si>
    <t>Цена с НДС в тнг./л, кг</t>
  </si>
  <si>
    <t>Затраты на 1 га, тнг/га с НДС</t>
  </si>
  <si>
    <t>Приложение к прайсу на 2020 год</t>
  </si>
  <si>
    <t>БАКОВЫЕ (ГОТОВЫЕ) СМЕСИ</t>
  </si>
  <si>
    <t>2020 год</t>
  </si>
  <si>
    <t>в пересчете по отдельности</t>
  </si>
  <si>
    <t>курс</t>
  </si>
  <si>
    <t>24478,2 в тн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</si>
</sst>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.00\ [$₽-419]_-;\-* #,##0.00\ [$₽-419]_-;_-* &quot;-&quot;??\ [$₽-419]_-;_-@_-"/>
    <numFmt numFmtId="168" formatCode="_-* #,##0\ [$₽-419]_-;\-* #,##0\ [$₽-419]_-;_-* &quot;-&quot;??\ [$₽-419]_-;_-@_-"/>
    <numFmt numFmtId="169" formatCode="_-* #,##0.00\ [$₸-43F]_-;\-* #,##0.00\ [$₸-43F]_-;_-* &quot;-&quot;??\ [$₸-43F]_-;_-@_-"/>
    <numFmt numFmtId="170" formatCode="_-* #,##0\ [$₸-43F]_-;\-* #,##0\ [$₸-43F]_-;_-* &quot;-&quot;\ [$₸-43F]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8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165" fontId="6" fillId="2" borderId="1" xfId="1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166" fontId="6" fillId="2" borderId="1" xfId="1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167" fontId="2" fillId="2" borderId="9" xfId="0" applyNumberFormat="1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167" fontId="15" fillId="2" borderId="0" xfId="0" applyNumberFormat="1" applyFont="1" applyFill="1" applyBorder="1" applyAlignment="1">
      <alignment horizontal="center" vertical="top" wrapText="1"/>
    </xf>
    <xf numFmtId="2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167" fontId="17" fillId="2" borderId="0" xfId="0" applyNumberFormat="1" applyFont="1" applyFill="1" applyBorder="1" applyAlignment="1">
      <alignment horizontal="center" vertical="top" wrapText="1"/>
    </xf>
    <xf numFmtId="167" fontId="4" fillId="2" borderId="0" xfId="0" applyNumberFormat="1" applyFont="1" applyFill="1" applyBorder="1" applyAlignment="1">
      <alignment horizontal="center" vertical="top" wrapText="1"/>
    </xf>
    <xf numFmtId="167" fontId="18" fillId="2" borderId="0" xfId="0" applyNumberFormat="1" applyFont="1" applyFill="1" applyBorder="1" applyAlignment="1">
      <alignment horizontal="center" vertical="top" wrapText="1"/>
    </xf>
    <xf numFmtId="167" fontId="19" fillId="2" borderId="0" xfId="0" applyNumberFormat="1" applyFont="1" applyFill="1" applyBorder="1" applyAlignment="1">
      <alignment horizontal="center" vertical="top" wrapText="1"/>
    </xf>
    <xf numFmtId="167" fontId="19" fillId="2" borderId="0" xfId="0" applyNumberFormat="1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vertical="top" wrapText="1"/>
    </xf>
    <xf numFmtId="167" fontId="20" fillId="0" borderId="0" xfId="0" applyNumberFormat="1" applyFont="1" applyAlignment="1">
      <alignment horizontal="left" vertical="top"/>
    </xf>
    <xf numFmtId="0" fontId="2" fillId="2" borderId="11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167" fontId="2" fillId="2" borderId="0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167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168" fontId="14" fillId="2" borderId="2" xfId="0" applyNumberFormat="1" applyFont="1" applyFill="1" applyBorder="1" applyAlignment="1">
      <alignment horizontal="center" vertical="top" wrapText="1"/>
    </xf>
    <xf numFmtId="165" fontId="22" fillId="3" borderId="1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vertical="top" wrapText="1"/>
    </xf>
    <xf numFmtId="165" fontId="22" fillId="2" borderId="1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left" vertical="top" wrapText="1"/>
    </xf>
    <xf numFmtId="49" fontId="22" fillId="2" borderId="1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vertical="top" wrapText="1"/>
    </xf>
    <xf numFmtId="167" fontId="22" fillId="2" borderId="1" xfId="1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2" fontId="22" fillId="2" borderId="1" xfId="1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22" fillId="2" borderId="2" xfId="0" applyFont="1" applyFill="1" applyBorder="1" applyAlignment="1">
      <alignment horizontal="left" vertical="top" wrapText="1"/>
    </xf>
    <xf numFmtId="0" fontId="22" fillId="2" borderId="2" xfId="0" applyFont="1" applyFill="1" applyBorder="1" applyAlignment="1">
      <alignment horizontal="center" vertical="top" wrapText="1"/>
    </xf>
    <xf numFmtId="2" fontId="22" fillId="3" borderId="1" xfId="2" applyNumberFormat="1" applyFont="1" applyFill="1" applyBorder="1" applyAlignment="1">
      <alignment horizontal="center" vertical="top" wrapText="1"/>
    </xf>
    <xf numFmtId="0" fontId="22" fillId="2" borderId="4" xfId="0" applyFont="1" applyFill="1" applyBorder="1" applyAlignment="1">
      <alignment vertical="top" wrapText="1"/>
    </xf>
    <xf numFmtId="168" fontId="14" fillId="2" borderId="3" xfId="0" applyNumberFormat="1" applyFont="1" applyFill="1" applyBorder="1" applyAlignment="1">
      <alignment horizontal="center" vertical="top" wrapText="1"/>
    </xf>
    <xf numFmtId="165" fontId="22" fillId="2" borderId="1" xfId="1" applyNumberFormat="1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vertical="top" wrapText="1"/>
    </xf>
    <xf numFmtId="168" fontId="2" fillId="2" borderId="0" xfId="0" applyNumberFormat="1" applyFont="1" applyFill="1" applyAlignment="1">
      <alignment vertical="top" wrapText="1"/>
    </xf>
    <xf numFmtId="10" fontId="2" fillId="2" borderId="0" xfId="0" applyNumberFormat="1" applyFont="1" applyFill="1" applyAlignment="1">
      <alignment vertical="top" wrapText="1"/>
    </xf>
    <xf numFmtId="166" fontId="22" fillId="2" borderId="2" xfId="1" applyNumberFormat="1" applyFont="1" applyFill="1" applyBorder="1" applyAlignment="1">
      <alignment vertical="top" wrapText="1"/>
    </xf>
    <xf numFmtId="166" fontId="22" fillId="2" borderId="4" xfId="1" applyNumberFormat="1" applyFont="1" applyFill="1" applyBorder="1" applyAlignment="1">
      <alignment vertical="top" wrapText="1"/>
    </xf>
    <xf numFmtId="0" fontId="22" fillId="2" borderId="1" xfId="0" applyNumberFormat="1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vertical="top" wrapText="1"/>
    </xf>
    <xf numFmtId="4" fontId="22" fillId="2" borderId="1" xfId="0" applyNumberFormat="1" applyFont="1" applyFill="1" applyBorder="1" applyAlignment="1">
      <alignment horizontal="center" vertical="top" wrapText="1"/>
    </xf>
    <xf numFmtId="166" fontId="22" fillId="2" borderId="1" xfId="1" applyNumberFormat="1" applyFont="1" applyFill="1" applyBorder="1" applyAlignment="1">
      <alignment vertical="top" wrapText="1"/>
    </xf>
    <xf numFmtId="2" fontId="22" fillId="2" borderId="1" xfId="2" applyNumberFormat="1" applyFont="1" applyFill="1" applyBorder="1" applyAlignment="1">
      <alignment horizontal="center" vertical="top" wrapText="1"/>
    </xf>
    <xf numFmtId="168" fontId="14" fillId="2" borderId="1" xfId="0" applyNumberFormat="1" applyFont="1" applyFill="1" applyBorder="1" applyAlignment="1">
      <alignment horizontal="center" vertical="top" wrapText="1"/>
    </xf>
    <xf numFmtId="2" fontId="22" fillId="2" borderId="2" xfId="1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22" fillId="3" borderId="1" xfId="0" applyFont="1" applyFill="1" applyBorder="1" applyAlignment="1">
      <alignment horizontal="center" vertical="top" wrapText="1"/>
    </xf>
    <xf numFmtId="2" fontId="22" fillId="3" borderId="1" xfId="1" applyNumberFormat="1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vertical="top" wrapText="1"/>
    </xf>
    <xf numFmtId="0" fontId="22" fillId="2" borderId="4" xfId="0" applyFont="1" applyFill="1" applyBorder="1" applyAlignment="1">
      <alignment horizontal="center" vertical="top" wrapText="1"/>
    </xf>
    <xf numFmtId="2" fontId="22" fillId="2" borderId="1" xfId="0" applyNumberFormat="1" applyFont="1" applyFill="1" applyBorder="1" applyAlignment="1">
      <alignment horizontal="center" vertical="top" wrapText="1"/>
    </xf>
    <xf numFmtId="3" fontId="22" fillId="2" borderId="1" xfId="0" applyNumberFormat="1" applyFont="1" applyFill="1" applyBorder="1" applyAlignment="1">
      <alignment vertical="top" wrapText="1"/>
    </xf>
    <xf numFmtId="2" fontId="22" fillId="3" borderId="1" xfId="0" applyNumberFormat="1" applyFont="1" applyFill="1" applyBorder="1" applyAlignment="1">
      <alignment horizontal="center" vertical="top" wrapText="1"/>
    </xf>
    <xf numFmtId="3" fontId="22" fillId="3" borderId="1" xfId="0" applyNumberFormat="1" applyFont="1" applyFill="1" applyBorder="1" applyAlignment="1">
      <alignment vertical="top" wrapText="1"/>
    </xf>
    <xf numFmtId="2" fontId="22" fillId="2" borderId="2" xfId="0" applyNumberFormat="1" applyFont="1" applyFill="1" applyBorder="1" applyAlignment="1">
      <alignment horizontal="center" vertical="top" wrapText="1"/>
    </xf>
    <xf numFmtId="2" fontId="22" fillId="2" borderId="4" xfId="0" applyNumberFormat="1" applyFont="1" applyFill="1" applyBorder="1" applyAlignment="1">
      <alignment horizontal="center" vertical="top" wrapText="1"/>
    </xf>
    <xf numFmtId="0" fontId="25" fillId="2" borderId="0" xfId="0" applyFont="1" applyFill="1" applyAlignment="1">
      <alignment vertical="top" wrapText="1"/>
    </xf>
    <xf numFmtId="0" fontId="14" fillId="3" borderId="2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2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67" fontId="2" fillId="2" borderId="0" xfId="0" applyNumberFormat="1" applyFont="1" applyFill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19" fillId="2" borderId="11" xfId="0" applyFont="1" applyFill="1" applyBorder="1" applyAlignment="1">
      <alignment vertical="top" wrapText="1"/>
    </xf>
    <xf numFmtId="0" fontId="19" fillId="2" borderId="0" xfId="0" applyFont="1" applyFill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168" fontId="14" fillId="2" borderId="2" xfId="0" applyNumberFormat="1" applyFont="1" applyFill="1" applyBorder="1" applyAlignment="1">
      <alignment vertical="top" wrapText="1"/>
    </xf>
    <xf numFmtId="168" fontId="14" fillId="2" borderId="4" xfId="0" applyNumberFormat="1" applyFont="1" applyFill="1" applyBorder="1" applyAlignment="1">
      <alignment vertical="top" wrapText="1"/>
    </xf>
    <xf numFmtId="168" fontId="14" fillId="2" borderId="3" xfId="0" applyNumberFormat="1" applyFont="1" applyFill="1" applyBorder="1" applyAlignment="1">
      <alignment vertical="top" wrapText="1"/>
    </xf>
    <xf numFmtId="2" fontId="22" fillId="2" borderId="2" xfId="1" applyNumberFormat="1" applyFont="1" applyFill="1" applyBorder="1" applyAlignment="1">
      <alignment vertical="top" wrapText="1"/>
    </xf>
    <xf numFmtId="2" fontId="22" fillId="2" borderId="4" xfId="1" applyNumberFormat="1" applyFont="1" applyFill="1" applyBorder="1" applyAlignment="1">
      <alignment vertical="top" wrapText="1"/>
    </xf>
    <xf numFmtId="2" fontId="22" fillId="2" borderId="2" xfId="2" applyNumberFormat="1" applyFont="1" applyFill="1" applyBorder="1" applyAlignment="1">
      <alignment vertical="top" wrapText="1"/>
    </xf>
    <xf numFmtId="2" fontId="22" fillId="2" borderId="4" xfId="2" applyNumberFormat="1" applyFont="1" applyFill="1" applyBorder="1" applyAlignment="1">
      <alignment vertical="top" wrapText="1"/>
    </xf>
    <xf numFmtId="168" fontId="14" fillId="3" borderId="2" xfId="0" applyNumberFormat="1" applyFont="1" applyFill="1" applyBorder="1" applyAlignment="1">
      <alignment vertical="top" wrapText="1"/>
    </xf>
    <xf numFmtId="168" fontId="14" fillId="3" borderId="4" xfId="0" applyNumberFormat="1" applyFont="1" applyFill="1" applyBorder="1" applyAlignment="1">
      <alignment vertical="top" wrapText="1"/>
    </xf>
    <xf numFmtId="167" fontId="14" fillId="2" borderId="2" xfId="0" applyNumberFormat="1" applyFont="1" applyFill="1" applyBorder="1" applyAlignment="1">
      <alignment vertical="top" wrapText="1"/>
    </xf>
    <xf numFmtId="167" fontId="14" fillId="2" borderId="3" xfId="0" applyNumberFormat="1" applyFont="1" applyFill="1" applyBorder="1" applyAlignment="1">
      <alignment vertical="top" wrapText="1"/>
    </xf>
    <xf numFmtId="167" fontId="14" fillId="2" borderId="4" xfId="0" applyNumberFormat="1" applyFont="1" applyFill="1" applyBorder="1" applyAlignment="1">
      <alignment vertical="top" wrapText="1"/>
    </xf>
    <xf numFmtId="4" fontId="22" fillId="2" borderId="2" xfId="0" applyNumberFormat="1" applyFont="1" applyFill="1" applyBorder="1" applyAlignment="1">
      <alignment vertical="top" wrapText="1"/>
    </xf>
    <xf numFmtId="4" fontId="22" fillId="2" borderId="4" xfId="0" applyNumberFormat="1" applyFont="1" applyFill="1" applyBorder="1" applyAlignment="1">
      <alignment vertical="top" wrapText="1"/>
    </xf>
    <xf numFmtId="4" fontId="22" fillId="2" borderId="3" xfId="0" applyNumberFormat="1" applyFont="1" applyFill="1" applyBorder="1" applyAlignment="1">
      <alignment vertical="top" wrapText="1"/>
    </xf>
    <xf numFmtId="2" fontId="22" fillId="2" borderId="3" xfId="1" applyNumberFormat="1" applyFont="1" applyFill="1" applyBorder="1" applyAlignment="1">
      <alignment vertical="top" wrapText="1"/>
    </xf>
    <xf numFmtId="0" fontId="22" fillId="3" borderId="2" xfId="0" applyFont="1" applyFill="1" applyBorder="1" applyAlignment="1">
      <alignment vertical="top" wrapText="1"/>
    </xf>
    <xf numFmtId="2" fontId="22" fillId="3" borderId="2" xfId="1" applyNumberFormat="1" applyFont="1" applyFill="1" applyBorder="1" applyAlignment="1">
      <alignment vertical="top" wrapText="1"/>
    </xf>
    <xf numFmtId="0" fontId="22" fillId="3" borderId="3" xfId="0" applyFont="1" applyFill="1" applyBorder="1" applyAlignment="1">
      <alignment vertical="top" wrapText="1"/>
    </xf>
    <xf numFmtId="168" fontId="14" fillId="3" borderId="3" xfId="0" applyNumberFormat="1" applyFont="1" applyFill="1" applyBorder="1" applyAlignment="1">
      <alignment vertical="top" wrapText="1"/>
    </xf>
    <xf numFmtId="2" fontId="22" fillId="3" borderId="3" xfId="1" applyNumberFormat="1" applyFont="1" applyFill="1" applyBorder="1" applyAlignment="1">
      <alignment vertical="top" wrapText="1"/>
    </xf>
    <xf numFmtId="0" fontId="22" fillId="3" borderId="4" xfId="0" applyFont="1" applyFill="1" applyBorder="1" applyAlignment="1">
      <alignment vertical="top" wrapText="1"/>
    </xf>
    <xf numFmtId="2" fontId="22" fillId="3" borderId="4" xfId="1" applyNumberFormat="1" applyFont="1" applyFill="1" applyBorder="1" applyAlignment="1">
      <alignment vertical="top" wrapText="1"/>
    </xf>
    <xf numFmtId="2" fontId="22" fillId="2" borderId="2" xfId="0" applyNumberFormat="1" applyFont="1" applyFill="1" applyBorder="1" applyAlignment="1">
      <alignment vertical="top" wrapText="1"/>
    </xf>
    <xf numFmtId="3" fontId="22" fillId="2" borderId="2" xfId="0" applyNumberFormat="1" applyFont="1" applyFill="1" applyBorder="1" applyAlignment="1">
      <alignment vertical="top" wrapText="1"/>
    </xf>
    <xf numFmtId="2" fontId="22" fillId="2" borderId="4" xfId="0" applyNumberFormat="1" applyFont="1" applyFill="1" applyBorder="1" applyAlignment="1">
      <alignment vertical="top" wrapText="1"/>
    </xf>
    <xf numFmtId="2" fontId="22" fillId="2" borderId="3" xfId="0" applyNumberFormat="1" applyFont="1" applyFill="1" applyBorder="1" applyAlignment="1">
      <alignment vertical="top" wrapText="1"/>
    </xf>
    <xf numFmtId="3" fontId="22" fillId="2" borderId="3" xfId="0" applyNumberFormat="1" applyFont="1" applyFill="1" applyBorder="1" applyAlignment="1">
      <alignment vertical="top" wrapText="1"/>
    </xf>
    <xf numFmtId="3" fontId="22" fillId="2" borderId="4" xfId="0" applyNumberFormat="1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169" fontId="14" fillId="2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/>
    <xf numFmtId="167" fontId="8" fillId="2" borderId="1" xfId="0" applyNumberFormat="1" applyFont="1" applyFill="1" applyBorder="1" applyAlignment="1">
      <alignment horizontal="center" vertical="top" wrapText="1"/>
    </xf>
    <xf numFmtId="167" fontId="8" fillId="0" borderId="1" xfId="0" applyNumberFormat="1" applyFont="1" applyBorder="1" applyAlignment="1">
      <alignment horizontal="center" vertical="top" wrapText="1"/>
    </xf>
    <xf numFmtId="167" fontId="4" fillId="2" borderId="1" xfId="0" applyNumberFormat="1" applyFont="1" applyFill="1" applyBorder="1" applyAlignment="1">
      <alignment horizontal="center" vertical="top"/>
    </xf>
    <xf numFmtId="167" fontId="4" fillId="2" borderId="4" xfId="0" applyNumberFormat="1" applyFont="1" applyFill="1" applyBorder="1" applyAlignment="1">
      <alignment horizontal="center" vertical="top"/>
    </xf>
    <xf numFmtId="165" fontId="0" fillId="4" borderId="1" xfId="0" applyNumberFormat="1" applyFill="1" applyBorder="1"/>
    <xf numFmtId="168" fontId="2" fillId="4" borderId="1" xfId="0" applyNumberFormat="1" applyFont="1" applyFill="1" applyBorder="1" applyAlignment="1">
      <alignment vertical="top" wrapText="1"/>
    </xf>
    <xf numFmtId="0" fontId="26" fillId="0" borderId="0" xfId="0" applyFont="1"/>
    <xf numFmtId="169" fontId="8" fillId="2" borderId="1" xfId="0" applyNumberFormat="1" applyFont="1" applyFill="1" applyBorder="1" applyAlignment="1">
      <alignment horizontal="center" vertical="top" wrapText="1"/>
    </xf>
    <xf numFmtId="169" fontId="8" fillId="0" borderId="1" xfId="0" applyNumberFormat="1" applyFont="1" applyBorder="1" applyAlignment="1">
      <alignment horizontal="center" vertical="top" wrapText="1"/>
    </xf>
    <xf numFmtId="169" fontId="4" fillId="2" borderId="1" xfId="0" applyNumberFormat="1" applyFont="1" applyFill="1" applyBorder="1" applyAlignment="1">
      <alignment horizontal="center" vertical="top"/>
    </xf>
    <xf numFmtId="169" fontId="4" fillId="2" borderId="4" xfId="0" applyNumberFormat="1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8" fontId="14" fillId="4" borderId="2" xfId="0" applyNumberFormat="1" applyFont="1" applyFill="1" applyBorder="1" applyAlignment="1">
      <alignment horizontal="center" vertical="top" wrapText="1"/>
    </xf>
    <xf numFmtId="168" fontId="14" fillId="4" borderId="2" xfId="0" applyNumberFormat="1" applyFont="1" applyFill="1" applyBorder="1" applyAlignment="1">
      <alignment vertical="top" wrapText="1"/>
    </xf>
    <xf numFmtId="168" fontId="14" fillId="4" borderId="1" xfId="0" applyNumberFormat="1" applyFont="1" applyFill="1" applyBorder="1" applyAlignment="1">
      <alignment horizontal="center" vertical="top" wrapText="1"/>
    </xf>
    <xf numFmtId="170" fontId="14" fillId="2" borderId="2" xfId="0" applyNumberFormat="1" applyFont="1" applyFill="1" applyBorder="1" applyAlignment="1">
      <alignment vertical="top" wrapText="1"/>
    </xf>
    <xf numFmtId="170" fontId="14" fillId="2" borderId="4" xfId="0" applyNumberFormat="1" applyFont="1" applyFill="1" applyBorder="1" applyAlignment="1">
      <alignment vertical="top" wrapText="1"/>
    </xf>
    <xf numFmtId="170" fontId="14" fillId="4" borderId="2" xfId="0" applyNumberFormat="1" applyFont="1" applyFill="1" applyBorder="1" applyAlignment="1">
      <alignment vertical="top" wrapText="1"/>
    </xf>
    <xf numFmtId="170" fontId="14" fillId="4" borderId="2" xfId="0" applyNumberFormat="1" applyFont="1" applyFill="1" applyBorder="1" applyAlignment="1">
      <alignment horizontal="center" vertical="top" wrapText="1"/>
    </xf>
    <xf numFmtId="170" fontId="14" fillId="3" borderId="2" xfId="0" applyNumberFormat="1" applyFont="1" applyFill="1" applyBorder="1" applyAlignment="1">
      <alignment horizontal="center" vertical="top" wrapText="1"/>
    </xf>
    <xf numFmtId="170" fontId="14" fillId="2" borderId="2" xfId="0" applyNumberFormat="1" applyFont="1" applyFill="1" applyBorder="1" applyAlignment="1">
      <alignment horizontal="center" vertical="top" wrapText="1"/>
    </xf>
    <xf numFmtId="170" fontId="14" fillId="2" borderId="3" xfId="0" applyNumberFormat="1" applyFont="1" applyFill="1" applyBorder="1" applyAlignment="1">
      <alignment vertical="top" wrapText="1"/>
    </xf>
    <xf numFmtId="169" fontId="14" fillId="4" borderId="2" xfId="0" applyNumberFormat="1" applyFont="1" applyFill="1" applyBorder="1" applyAlignment="1">
      <alignment horizontal="center" vertical="top" wrapText="1"/>
    </xf>
    <xf numFmtId="169" fontId="14" fillId="2" borderId="2" xfId="0" applyNumberFormat="1" applyFont="1" applyFill="1" applyBorder="1" applyAlignment="1">
      <alignment horizontal="center" vertical="top" wrapText="1"/>
    </xf>
    <xf numFmtId="169" fontId="14" fillId="2" borderId="2" xfId="0" applyNumberFormat="1" applyFont="1" applyFill="1" applyBorder="1" applyAlignment="1">
      <alignment vertical="top" wrapText="1"/>
    </xf>
    <xf numFmtId="169" fontId="14" fillId="2" borderId="4" xfId="0" applyNumberFormat="1" applyFont="1" applyFill="1" applyBorder="1" applyAlignment="1">
      <alignment vertical="top" wrapText="1"/>
    </xf>
    <xf numFmtId="169" fontId="14" fillId="4" borderId="2" xfId="0" applyNumberFormat="1" applyFont="1" applyFill="1" applyBorder="1" applyAlignment="1">
      <alignment vertical="top" wrapText="1"/>
    </xf>
    <xf numFmtId="169" fontId="14" fillId="2" borderId="3" xfId="0" applyNumberFormat="1" applyFont="1" applyFill="1" applyBorder="1" applyAlignment="1">
      <alignment vertical="top" wrapText="1"/>
    </xf>
    <xf numFmtId="169" fontId="14" fillId="3" borderId="4" xfId="0" applyNumberFormat="1" applyFont="1" applyFill="1" applyBorder="1" applyAlignment="1">
      <alignment vertical="top" wrapText="1"/>
    </xf>
    <xf numFmtId="169" fontId="14" fillId="2" borderId="3" xfId="0" applyNumberFormat="1" applyFont="1" applyFill="1" applyBorder="1" applyAlignment="1">
      <alignment horizontal="center" vertical="top" wrapText="1"/>
    </xf>
    <xf numFmtId="170" fontId="14" fillId="3" borderId="2" xfId="0" applyNumberFormat="1" applyFont="1" applyFill="1" applyBorder="1" applyAlignment="1">
      <alignment vertical="top" wrapText="1"/>
    </xf>
    <xf numFmtId="170" fontId="14" fillId="3" borderId="3" xfId="0" applyNumberFormat="1" applyFont="1" applyFill="1" applyBorder="1" applyAlignment="1">
      <alignment vertical="top" wrapText="1"/>
    </xf>
    <xf numFmtId="170" fontId="14" fillId="3" borderId="4" xfId="0" applyNumberFormat="1" applyFont="1" applyFill="1" applyBorder="1" applyAlignment="1">
      <alignment vertical="top" wrapText="1"/>
    </xf>
    <xf numFmtId="170" fontId="14" fillId="2" borderId="1" xfId="0" applyNumberFormat="1" applyFont="1" applyFill="1" applyBorder="1" applyAlignment="1">
      <alignment horizontal="center" vertical="top" wrapText="1"/>
    </xf>
    <xf numFmtId="170" fontId="14" fillId="4" borderId="1" xfId="0" applyNumberFormat="1" applyFont="1" applyFill="1" applyBorder="1" applyAlignment="1">
      <alignment horizontal="center" vertical="top" wrapText="1"/>
    </xf>
    <xf numFmtId="0" fontId="22" fillId="2" borderId="5" xfId="0" applyFont="1" applyFill="1" applyBorder="1" applyAlignment="1">
      <alignment horizontal="center" vertical="top" wrapText="1"/>
    </xf>
    <xf numFmtId="0" fontId="22" fillId="2" borderId="6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top" wrapText="1"/>
    </xf>
    <xf numFmtId="0" fontId="24" fillId="2" borderId="7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top" wrapText="1"/>
    </xf>
    <xf numFmtId="0" fontId="21" fillId="2" borderId="6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horizontal="center" vertical="top" wrapText="1"/>
    </xf>
    <xf numFmtId="0" fontId="23" fillId="2" borderId="7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167" fontId="8" fillId="0" borderId="2" xfId="0" applyNumberFormat="1" applyFont="1" applyBorder="1" applyAlignment="1">
      <alignment horizontal="center" vertical="top" wrapText="1"/>
    </xf>
    <xf numFmtId="167" fontId="8" fillId="0" borderId="4" xfId="0" applyNumberFormat="1" applyFont="1" applyBorder="1" applyAlignment="1">
      <alignment horizontal="center" vertical="top" wrapText="1"/>
    </xf>
    <xf numFmtId="165" fontId="6" fillId="0" borderId="2" xfId="1" applyNumberFormat="1" applyFont="1" applyBorder="1" applyAlignment="1">
      <alignment horizontal="center" vertical="top"/>
    </xf>
    <xf numFmtId="165" fontId="6" fillId="0" borderId="4" xfId="1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horizontal="right" vertical="top" wrapText="1"/>
    </xf>
    <xf numFmtId="0" fontId="0" fillId="0" borderId="13" xfId="0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top" wrapText="1"/>
    </xf>
    <xf numFmtId="165" fontId="4" fillId="0" borderId="4" xfId="0" applyNumberFormat="1" applyFont="1" applyBorder="1" applyAlignment="1">
      <alignment horizontal="center" vertical="top" wrapText="1"/>
    </xf>
    <xf numFmtId="169" fontId="8" fillId="0" borderId="2" xfId="0" applyNumberFormat="1" applyFont="1" applyBorder="1" applyAlignment="1">
      <alignment horizontal="center" vertical="top" wrapText="1"/>
    </xf>
    <xf numFmtId="169" fontId="8" fillId="0" borderId="4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2679916</xdr:colOff>
      <xdr:row>9</xdr:row>
      <xdr:rowOff>177585</xdr:rowOff>
    </xdr:to>
    <xdr:pic>
      <xdr:nvPicPr>
        <xdr:cNvPr id="3" name="Рисунок 2" descr="LOGOTIP2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1737" y="193729"/>
          <a:ext cx="6376907" cy="24538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33421</xdr:colOff>
      <xdr:row>0</xdr:row>
      <xdr:rowOff>173180</xdr:rowOff>
    </xdr:from>
    <xdr:to>
      <xdr:col>5</xdr:col>
      <xdr:colOff>2138947</xdr:colOff>
      <xdr:row>5</xdr:row>
      <xdr:rowOff>33420</xdr:rowOff>
    </xdr:to>
    <xdr:pic>
      <xdr:nvPicPr>
        <xdr:cNvPr id="2" name="Рисунок 1" descr="LOGOTIP2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0" y="173180"/>
          <a:ext cx="5046579" cy="14811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7</xdr:col>
      <xdr:colOff>2744491</xdr:colOff>
      <xdr:row>9</xdr:row>
      <xdr:rowOff>177585</xdr:rowOff>
    </xdr:to>
    <xdr:pic>
      <xdr:nvPicPr>
        <xdr:cNvPr id="2" name="Рисунок 1" descr="LOGOTIP2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200025"/>
          <a:ext cx="6364638" cy="2425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33421</xdr:colOff>
      <xdr:row>0</xdr:row>
      <xdr:rowOff>173180</xdr:rowOff>
    </xdr:from>
    <xdr:to>
      <xdr:col>5</xdr:col>
      <xdr:colOff>2138947</xdr:colOff>
      <xdr:row>5</xdr:row>
      <xdr:rowOff>33420</xdr:rowOff>
    </xdr:to>
    <xdr:pic>
      <xdr:nvPicPr>
        <xdr:cNvPr id="2" name="Рисунок 1" descr="LOGOTIP2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1671" y="173180"/>
          <a:ext cx="5048751" cy="1479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36"/>
  <sheetViews>
    <sheetView tabSelected="1" topLeftCell="A115" zoomScale="59" zoomScaleNormal="59" zoomScalePageLayoutView="60" workbookViewId="0">
      <selection activeCell="B118" sqref="B118"/>
    </sheetView>
  </sheetViews>
  <sheetFormatPr defaultColWidth="9.14453125" defaultRowHeight="14.25" x14ac:dyDescent="0.2"/>
  <cols>
    <col min="1" max="1" width="0.1328125" style="24" customWidth="1"/>
    <col min="2" max="2" width="59.99609375" style="24" customWidth="1"/>
    <col min="3" max="3" width="19.37109375" style="95" customWidth="1"/>
    <col min="4" max="4" width="23.5390625" style="96" customWidth="1"/>
    <col min="5" max="5" width="24.078125" style="94" customWidth="1"/>
    <col min="6" max="6" width="31.07421875" style="24" customWidth="1"/>
    <col min="7" max="7" width="53.40234375" style="24" customWidth="1"/>
    <col min="8" max="8" width="9.14453125" style="24" customWidth="1"/>
    <col min="9" max="9" width="11.43359375" style="24" customWidth="1"/>
    <col min="10" max="10" width="9.14453125" style="24" customWidth="1"/>
    <col min="11" max="11" width="7.12890625" style="24" customWidth="1"/>
    <col min="12" max="16384" width="9.14453125" style="24"/>
  </cols>
  <sheetData>
    <row r="1" spans="2:7" x14ac:dyDescent="0.2">
      <c r="B1" s="18"/>
      <c r="C1" s="19"/>
      <c r="D1" s="20"/>
      <c r="E1" s="21"/>
      <c r="F1" s="22"/>
      <c r="G1" s="23"/>
    </row>
    <row r="2" spans="2:7" ht="23.25" customHeight="1" x14ac:dyDescent="0.2">
      <c r="B2" s="180" t="s">
        <v>208</v>
      </c>
      <c r="C2" s="181"/>
      <c r="D2" s="25"/>
      <c r="E2" s="26"/>
      <c r="F2" s="27"/>
      <c r="G2" s="28"/>
    </row>
    <row r="3" spans="2:7" ht="22.5" customHeight="1" x14ac:dyDescent="0.2">
      <c r="B3" s="184" t="s">
        <v>211</v>
      </c>
      <c r="C3" s="185"/>
      <c r="D3" s="98"/>
      <c r="E3" s="26"/>
      <c r="F3" s="27"/>
      <c r="G3" s="28"/>
    </row>
    <row r="4" spans="2:7" ht="21.75" x14ac:dyDescent="0.2">
      <c r="B4" s="182"/>
      <c r="C4" s="183"/>
      <c r="D4" s="29"/>
      <c r="E4" s="26"/>
      <c r="F4" s="27"/>
      <c r="G4" s="28"/>
    </row>
    <row r="5" spans="2:7" ht="21.75" x14ac:dyDescent="0.2">
      <c r="B5" s="16"/>
      <c r="C5" s="17"/>
      <c r="D5" s="30"/>
      <c r="E5" s="26"/>
      <c r="F5" s="27"/>
      <c r="G5" s="28"/>
    </row>
    <row r="6" spans="2:7" ht="21.75" x14ac:dyDescent="0.25">
      <c r="B6" s="14" t="s">
        <v>209</v>
      </c>
      <c r="C6" s="15"/>
      <c r="D6" s="31"/>
      <c r="E6" s="26"/>
      <c r="F6" s="27"/>
      <c r="G6" s="28"/>
    </row>
    <row r="7" spans="2:7" ht="21.75" x14ac:dyDescent="0.25">
      <c r="B7" s="14" t="s">
        <v>214</v>
      </c>
      <c r="C7" s="15"/>
      <c r="D7" s="32"/>
      <c r="E7" s="26"/>
      <c r="F7" s="27"/>
      <c r="G7" s="28"/>
    </row>
    <row r="8" spans="2:7" ht="21.75" x14ac:dyDescent="0.25">
      <c r="B8" s="14" t="s">
        <v>210</v>
      </c>
      <c r="C8" s="15"/>
      <c r="D8" s="100"/>
      <c r="E8" s="26"/>
      <c r="F8" s="27"/>
      <c r="G8" s="28"/>
    </row>
    <row r="9" spans="2:7" ht="18" x14ac:dyDescent="0.2">
      <c r="B9" s="99"/>
      <c r="C9" s="100"/>
      <c r="D9" s="100"/>
      <c r="E9" s="26"/>
      <c r="F9" s="27"/>
      <c r="G9" s="28"/>
    </row>
    <row r="10" spans="2:7" ht="18" x14ac:dyDescent="0.2">
      <c r="B10" s="99"/>
      <c r="C10" s="100"/>
      <c r="D10" s="33"/>
      <c r="E10" s="26"/>
      <c r="F10" s="27"/>
      <c r="G10" s="34"/>
    </row>
    <row r="11" spans="2:7" ht="18" x14ac:dyDescent="0.2">
      <c r="B11" s="102"/>
      <c r="C11" s="102"/>
      <c r="D11" s="35"/>
      <c r="E11" s="26"/>
      <c r="F11" s="27"/>
      <c r="G11" s="28"/>
    </row>
    <row r="12" spans="2:7" ht="18" x14ac:dyDescent="0.2">
      <c r="B12" s="101"/>
      <c r="C12" s="102"/>
      <c r="D12" s="35"/>
      <c r="E12" s="26"/>
      <c r="F12" s="27"/>
      <c r="G12" s="34"/>
    </row>
    <row r="13" spans="2:7" ht="16.5" x14ac:dyDescent="0.2">
      <c r="B13" s="36"/>
      <c r="C13" s="37"/>
      <c r="D13" s="38"/>
      <c r="E13" s="26"/>
      <c r="F13" s="27"/>
      <c r="G13" s="39" t="s">
        <v>215</v>
      </c>
    </row>
    <row r="14" spans="2:7" ht="118.5" customHeight="1" x14ac:dyDescent="0.2">
      <c r="B14" s="40" t="s">
        <v>80</v>
      </c>
      <c r="C14" s="41" t="s">
        <v>216</v>
      </c>
      <c r="D14" s="43" t="s">
        <v>217</v>
      </c>
      <c r="E14" s="44" t="s">
        <v>218</v>
      </c>
      <c r="F14" s="41" t="s">
        <v>118</v>
      </c>
      <c r="G14" s="41" t="s">
        <v>81</v>
      </c>
    </row>
    <row r="15" spans="2:7" ht="16.5" x14ac:dyDescent="0.2">
      <c r="B15" s="45">
        <v>1</v>
      </c>
      <c r="C15" s="45">
        <v>2</v>
      </c>
      <c r="D15" s="45">
        <v>3</v>
      </c>
      <c r="E15" s="42">
        <v>4</v>
      </c>
      <c r="F15" s="45">
        <v>5</v>
      </c>
      <c r="G15" s="45">
        <v>6</v>
      </c>
    </row>
    <row r="16" spans="2:7" ht="18.75" customHeight="1" x14ac:dyDescent="0.2">
      <c r="B16" s="186" t="s">
        <v>205</v>
      </c>
      <c r="C16" s="187"/>
      <c r="D16" s="187"/>
      <c r="E16" s="187"/>
      <c r="F16" s="187"/>
      <c r="G16" s="188"/>
    </row>
    <row r="17" spans="2:7" ht="36" x14ac:dyDescent="0.25">
      <c r="B17" s="48" t="s">
        <v>219</v>
      </c>
      <c r="C17" s="54">
        <v>0.4</v>
      </c>
      <c r="D17" s="103">
        <v>1250</v>
      </c>
      <c r="E17" s="55">
        <f>C17*D17*0.12</f>
        <v>60</v>
      </c>
      <c r="F17" s="56" t="s">
        <v>85</v>
      </c>
      <c r="G17" s="56" t="s">
        <v>220</v>
      </c>
    </row>
    <row r="18" spans="2:7" ht="36" x14ac:dyDescent="0.25">
      <c r="B18" s="57"/>
      <c r="C18" s="54" t="s">
        <v>108</v>
      </c>
      <c r="D18" s="104"/>
      <c r="E18" s="55">
        <f>0.4*D17*0.05</f>
        <v>25</v>
      </c>
      <c r="F18" s="56" t="s">
        <v>67</v>
      </c>
      <c r="G18" s="56" t="s">
        <v>221</v>
      </c>
    </row>
    <row r="19" spans="2:7" ht="40.5" customHeight="1" x14ac:dyDescent="0.25">
      <c r="B19" s="48" t="s">
        <v>222</v>
      </c>
      <c r="C19" s="54" t="s">
        <v>3</v>
      </c>
      <c r="D19" s="149">
        <v>2355</v>
      </c>
      <c r="E19" s="55">
        <f>0.3*D19*0.12</f>
        <v>84.78</v>
      </c>
      <c r="F19" s="56" t="s">
        <v>1</v>
      </c>
      <c r="G19" s="56" t="s">
        <v>223</v>
      </c>
    </row>
    <row r="20" spans="2:7" ht="36" x14ac:dyDescent="0.25">
      <c r="B20" s="57"/>
      <c r="C20" s="54" t="s">
        <v>3</v>
      </c>
      <c r="D20" s="104"/>
      <c r="E20" s="55">
        <f>0.3*D19*0.12</f>
        <v>84.78</v>
      </c>
      <c r="F20" s="56" t="s">
        <v>2</v>
      </c>
      <c r="G20" s="56" t="s">
        <v>136</v>
      </c>
    </row>
    <row r="21" spans="2:7" ht="57.75" x14ac:dyDescent="0.25">
      <c r="B21" s="50" t="s">
        <v>224</v>
      </c>
      <c r="C21" s="60" t="s">
        <v>225</v>
      </c>
      <c r="D21" s="148">
        <v>2675</v>
      </c>
      <c r="E21" s="55">
        <f>0.8*D21*0.12</f>
        <v>256.8</v>
      </c>
      <c r="F21" s="56" t="s">
        <v>85</v>
      </c>
      <c r="G21" s="56" t="s">
        <v>226</v>
      </c>
    </row>
    <row r="22" spans="2:7" ht="39.75" x14ac:dyDescent="0.25">
      <c r="B22" s="77" t="s">
        <v>227</v>
      </c>
      <c r="C22" s="47" t="s">
        <v>228</v>
      </c>
      <c r="D22" s="148">
        <v>1345</v>
      </c>
      <c r="E22" s="79">
        <f>2*D22*0.12</f>
        <v>322.8</v>
      </c>
      <c r="F22" s="80" t="s">
        <v>229</v>
      </c>
      <c r="G22" s="80" t="s">
        <v>230</v>
      </c>
    </row>
    <row r="23" spans="2:7" ht="75.75" x14ac:dyDescent="0.25">
      <c r="B23" s="48" t="s">
        <v>231</v>
      </c>
      <c r="C23" s="49" t="s">
        <v>178</v>
      </c>
      <c r="D23" s="46">
        <v>2900</v>
      </c>
      <c r="E23" s="55">
        <f>0.4*D23*0.12</f>
        <v>139.19999999999999</v>
      </c>
      <c r="F23" s="56" t="s">
        <v>1</v>
      </c>
      <c r="G23" s="56" t="s">
        <v>232</v>
      </c>
    </row>
    <row r="24" spans="2:7" ht="39.75" x14ac:dyDescent="0.25">
      <c r="B24" s="48" t="s">
        <v>233</v>
      </c>
      <c r="C24" s="49" t="s">
        <v>178</v>
      </c>
      <c r="D24" s="149">
        <v>4230</v>
      </c>
      <c r="E24" s="55">
        <f>0.4*D24*0.22</f>
        <v>372.24</v>
      </c>
      <c r="F24" s="56" t="s">
        <v>234</v>
      </c>
      <c r="G24" s="59" t="s">
        <v>235</v>
      </c>
    </row>
    <row r="25" spans="2:7" ht="21" x14ac:dyDescent="0.25">
      <c r="B25" s="57"/>
      <c r="C25" s="49" t="s">
        <v>109</v>
      </c>
      <c r="D25" s="104"/>
      <c r="E25" s="55">
        <f>0.2*D24*3</f>
        <v>2538</v>
      </c>
      <c r="F25" s="56" t="s">
        <v>18</v>
      </c>
      <c r="G25" s="56" t="s">
        <v>236</v>
      </c>
    </row>
    <row r="26" spans="2:7" ht="36" x14ac:dyDescent="0.25">
      <c r="B26" s="48" t="s">
        <v>237</v>
      </c>
      <c r="C26" s="54" t="s">
        <v>108</v>
      </c>
      <c r="D26" s="103">
        <v>5900</v>
      </c>
      <c r="E26" s="55">
        <f>0.4*D26*0.12</f>
        <v>283.2</v>
      </c>
      <c r="F26" s="56" t="s">
        <v>82</v>
      </c>
      <c r="G26" s="56" t="s">
        <v>238</v>
      </c>
    </row>
    <row r="27" spans="2:7" ht="21" x14ac:dyDescent="0.25">
      <c r="B27" s="52"/>
      <c r="C27" s="54" t="s">
        <v>109</v>
      </c>
      <c r="D27" s="105"/>
      <c r="E27" s="55">
        <f>0.2*D26*3</f>
        <v>3540</v>
      </c>
      <c r="F27" s="56" t="s">
        <v>18</v>
      </c>
      <c r="G27" s="56" t="s">
        <v>111</v>
      </c>
    </row>
    <row r="28" spans="2:7" ht="21" x14ac:dyDescent="0.25">
      <c r="B28" s="52"/>
      <c r="C28" s="54" t="s">
        <v>110</v>
      </c>
      <c r="D28" s="105"/>
      <c r="E28" s="55">
        <f>6*D26*0.007</f>
        <v>247.8</v>
      </c>
      <c r="F28" s="56" t="s">
        <v>116</v>
      </c>
      <c r="G28" s="56" t="s">
        <v>112</v>
      </c>
    </row>
    <row r="29" spans="2:7" ht="21" x14ac:dyDescent="0.25">
      <c r="B29" s="57"/>
      <c r="C29" s="54" t="s">
        <v>69</v>
      </c>
      <c r="D29" s="104"/>
      <c r="E29" s="55">
        <f>0.8*D26*0.05</f>
        <v>236</v>
      </c>
      <c r="F29" s="56" t="s">
        <v>67</v>
      </c>
      <c r="G29" s="56" t="s">
        <v>177</v>
      </c>
    </row>
    <row r="30" spans="2:7" ht="20.25" customHeight="1" x14ac:dyDescent="0.25">
      <c r="B30" s="48" t="s">
        <v>239</v>
      </c>
      <c r="C30" s="51" t="s">
        <v>206</v>
      </c>
      <c r="D30" s="103">
        <v>6100</v>
      </c>
      <c r="E30" s="55">
        <f>5*D30*0.02</f>
        <v>610</v>
      </c>
      <c r="F30" s="56" t="s">
        <v>6</v>
      </c>
      <c r="G30" s="56" t="s">
        <v>240</v>
      </c>
    </row>
    <row r="31" spans="2:7" ht="21" x14ac:dyDescent="0.25">
      <c r="B31" s="57"/>
      <c r="C31" s="51" t="s">
        <v>71</v>
      </c>
      <c r="D31" s="104"/>
      <c r="E31" s="55">
        <f>6*D30*0.004</f>
        <v>146.4</v>
      </c>
      <c r="F31" s="56" t="s">
        <v>55</v>
      </c>
      <c r="G31" s="56" t="s">
        <v>177</v>
      </c>
    </row>
    <row r="32" spans="2:7" ht="40.5" customHeight="1" x14ac:dyDescent="0.25">
      <c r="B32" s="48" t="s">
        <v>241</v>
      </c>
      <c r="C32" s="51" t="s">
        <v>141</v>
      </c>
      <c r="D32" s="103">
        <v>8350</v>
      </c>
      <c r="E32" s="55">
        <f>1*D32*0.12</f>
        <v>1002</v>
      </c>
      <c r="F32" s="56" t="s">
        <v>1</v>
      </c>
      <c r="G32" s="56" t="s">
        <v>242</v>
      </c>
    </row>
    <row r="33" spans="2:7" ht="21" x14ac:dyDescent="0.25">
      <c r="B33" s="52"/>
      <c r="C33" s="51" t="s">
        <v>243</v>
      </c>
      <c r="D33" s="105"/>
      <c r="E33" s="55">
        <f>8*D32*0.007</f>
        <v>467.6</v>
      </c>
      <c r="F33" s="56" t="s">
        <v>116</v>
      </c>
      <c r="G33" s="56" t="s">
        <v>244</v>
      </c>
    </row>
    <row r="34" spans="2:7" ht="36" x14ac:dyDescent="0.25">
      <c r="B34" s="52"/>
      <c r="C34" s="51" t="s">
        <v>71</v>
      </c>
      <c r="D34" s="105"/>
      <c r="E34" s="55">
        <f>6*D32*0.02</f>
        <v>1002</v>
      </c>
      <c r="F34" s="56" t="s">
        <v>6</v>
      </c>
      <c r="G34" s="56" t="s">
        <v>245</v>
      </c>
    </row>
    <row r="35" spans="2:7" ht="21" x14ac:dyDescent="0.25">
      <c r="B35" s="57"/>
      <c r="C35" s="51" t="s">
        <v>246</v>
      </c>
      <c r="D35" s="104"/>
      <c r="E35" s="55">
        <f>0.3*D32*3</f>
        <v>7515</v>
      </c>
      <c r="F35" s="56" t="s">
        <v>18</v>
      </c>
      <c r="G35" s="56" t="s">
        <v>111</v>
      </c>
    </row>
    <row r="36" spans="2:7" ht="36" x14ac:dyDescent="0.25">
      <c r="B36" s="48" t="s">
        <v>247</v>
      </c>
      <c r="C36" s="54" t="s">
        <v>70</v>
      </c>
      <c r="D36" s="149">
        <v>750</v>
      </c>
      <c r="E36" s="55">
        <f>3*D36*0.12</f>
        <v>270</v>
      </c>
      <c r="F36" s="56" t="s">
        <v>120</v>
      </c>
      <c r="G36" s="56" t="s">
        <v>248</v>
      </c>
    </row>
    <row r="37" spans="2:7" ht="54" x14ac:dyDescent="0.25">
      <c r="B37" s="52"/>
      <c r="C37" s="54" t="s">
        <v>70</v>
      </c>
      <c r="D37" s="105"/>
      <c r="E37" s="55">
        <f>3*D36*0.02</f>
        <v>45</v>
      </c>
      <c r="F37" s="56" t="s">
        <v>6</v>
      </c>
      <c r="G37" s="56" t="s">
        <v>121</v>
      </c>
    </row>
    <row r="38" spans="2:7" ht="21" x14ac:dyDescent="0.25">
      <c r="B38" s="52"/>
      <c r="C38" s="54" t="s">
        <v>72</v>
      </c>
      <c r="D38" s="105"/>
      <c r="E38" s="55">
        <f>4*D36*3</f>
        <v>9000</v>
      </c>
      <c r="F38" s="56" t="s">
        <v>18</v>
      </c>
      <c r="G38" s="56" t="s">
        <v>135</v>
      </c>
    </row>
    <row r="39" spans="2:7" ht="54" x14ac:dyDescent="0.25">
      <c r="B39" s="52"/>
      <c r="C39" s="54" t="s">
        <v>71</v>
      </c>
      <c r="D39" s="105"/>
      <c r="E39" s="53" t="s">
        <v>249</v>
      </c>
      <c r="F39" s="56" t="s">
        <v>131</v>
      </c>
      <c r="G39" s="56" t="s">
        <v>122</v>
      </c>
    </row>
    <row r="40" spans="2:7" ht="20.25" customHeight="1" x14ac:dyDescent="0.25">
      <c r="B40" s="52"/>
      <c r="C40" s="71" t="s">
        <v>73</v>
      </c>
      <c r="D40" s="105"/>
      <c r="E40" s="106">
        <f>7*D36*0.004</f>
        <v>21</v>
      </c>
      <c r="F40" s="71" t="s">
        <v>74</v>
      </c>
      <c r="G40" s="71" t="s">
        <v>250</v>
      </c>
    </row>
    <row r="41" spans="2:7" ht="21" x14ac:dyDescent="0.2">
      <c r="B41" s="57"/>
      <c r="C41" s="62"/>
      <c r="D41" s="104"/>
      <c r="E41" s="107"/>
      <c r="F41" s="62"/>
      <c r="G41" s="62"/>
    </row>
    <row r="42" spans="2:7" ht="21" x14ac:dyDescent="0.2">
      <c r="B42" s="189" t="s">
        <v>251</v>
      </c>
      <c r="C42" s="190"/>
      <c r="D42" s="190"/>
      <c r="E42" s="190"/>
      <c r="F42" s="190"/>
      <c r="G42" s="191"/>
    </row>
    <row r="43" spans="2:7" ht="54" x14ac:dyDescent="0.25">
      <c r="B43" s="48" t="s">
        <v>252</v>
      </c>
      <c r="C43" s="54" t="s">
        <v>5</v>
      </c>
      <c r="D43" s="148">
        <v>1260</v>
      </c>
      <c r="E43" s="55">
        <f>0.3*D43</f>
        <v>378</v>
      </c>
      <c r="F43" s="56" t="s">
        <v>253</v>
      </c>
      <c r="G43" s="56" t="s">
        <v>83</v>
      </c>
    </row>
    <row r="44" spans="2:7" ht="39.75" x14ac:dyDescent="0.25">
      <c r="B44" s="58" t="s">
        <v>254</v>
      </c>
      <c r="C44" s="54" t="s">
        <v>171</v>
      </c>
      <c r="D44" s="46">
        <v>17000</v>
      </c>
      <c r="E44" s="55">
        <f>0.015*D44</f>
        <v>255</v>
      </c>
      <c r="F44" s="56" t="s">
        <v>1</v>
      </c>
      <c r="G44" s="56" t="s">
        <v>83</v>
      </c>
    </row>
    <row r="45" spans="2:7" ht="39.75" x14ac:dyDescent="0.25">
      <c r="B45" s="56" t="s">
        <v>255</v>
      </c>
      <c r="C45" s="54" t="s">
        <v>7</v>
      </c>
      <c r="D45" s="148">
        <v>1925</v>
      </c>
      <c r="E45" s="55">
        <f>1*D45</f>
        <v>1925</v>
      </c>
      <c r="F45" s="56" t="s">
        <v>8</v>
      </c>
      <c r="G45" s="56" t="s">
        <v>84</v>
      </c>
    </row>
    <row r="46" spans="2:7" ht="39.75" x14ac:dyDescent="0.25">
      <c r="B46" s="56" t="s">
        <v>256</v>
      </c>
      <c r="C46" s="54" t="s">
        <v>257</v>
      </c>
      <c r="D46" s="46">
        <v>1500</v>
      </c>
      <c r="E46" s="55">
        <f>1*D46</f>
        <v>1500</v>
      </c>
      <c r="F46" s="56" t="s">
        <v>258</v>
      </c>
      <c r="G46" s="56" t="s">
        <v>259</v>
      </c>
    </row>
    <row r="47" spans="2:7" ht="20.25" customHeight="1" x14ac:dyDescent="0.25">
      <c r="B47" s="71" t="s">
        <v>260</v>
      </c>
      <c r="C47" s="54" t="s">
        <v>69</v>
      </c>
      <c r="D47" s="103">
        <v>2480</v>
      </c>
      <c r="E47" s="55">
        <f>0.8*D47</f>
        <v>1984</v>
      </c>
      <c r="F47" s="56" t="s">
        <v>116</v>
      </c>
      <c r="G47" s="71" t="s">
        <v>261</v>
      </c>
    </row>
    <row r="48" spans="2:7" ht="21" x14ac:dyDescent="0.25">
      <c r="B48" s="62"/>
      <c r="C48" s="54" t="s">
        <v>262</v>
      </c>
      <c r="D48" s="104"/>
      <c r="E48" s="55">
        <f>0.5*D47</f>
        <v>1240</v>
      </c>
      <c r="F48" s="56" t="s">
        <v>12</v>
      </c>
      <c r="G48" s="62"/>
    </row>
    <row r="49" spans="2:9" ht="20.25" customHeight="1" x14ac:dyDescent="0.25">
      <c r="B49" s="71" t="s">
        <v>263</v>
      </c>
      <c r="C49" s="54" t="s">
        <v>264</v>
      </c>
      <c r="D49" s="103">
        <v>950</v>
      </c>
      <c r="E49" s="55">
        <f>2.3*D49</f>
        <v>2185</v>
      </c>
      <c r="F49" s="56" t="s">
        <v>12</v>
      </c>
      <c r="G49" s="71" t="s">
        <v>213</v>
      </c>
    </row>
    <row r="50" spans="2:9" ht="21" x14ac:dyDescent="0.25">
      <c r="B50" s="62"/>
      <c r="C50" s="54" t="s">
        <v>265</v>
      </c>
      <c r="D50" s="104"/>
      <c r="E50" s="55">
        <f>3*D49</f>
        <v>2850</v>
      </c>
      <c r="F50" s="56" t="s">
        <v>48</v>
      </c>
      <c r="G50" s="62"/>
    </row>
    <row r="51" spans="2:9" ht="54" x14ac:dyDescent="0.25">
      <c r="B51" s="48" t="s">
        <v>266</v>
      </c>
      <c r="C51" s="54" t="s">
        <v>9</v>
      </c>
      <c r="D51" s="149">
        <v>750</v>
      </c>
      <c r="E51" s="55">
        <f>1.2*D51</f>
        <v>900</v>
      </c>
      <c r="F51" s="56" t="s">
        <v>85</v>
      </c>
      <c r="G51" s="56" t="s">
        <v>267</v>
      </c>
    </row>
    <row r="52" spans="2:9" ht="21" x14ac:dyDescent="0.25">
      <c r="B52" s="65"/>
      <c r="C52" s="54" t="s">
        <v>69</v>
      </c>
      <c r="D52" s="105"/>
      <c r="E52" s="55">
        <f>0.8*D51</f>
        <v>600</v>
      </c>
      <c r="F52" s="56" t="s">
        <v>67</v>
      </c>
      <c r="G52" s="56" t="s">
        <v>75</v>
      </c>
    </row>
    <row r="53" spans="2:9" ht="21" x14ac:dyDescent="0.25">
      <c r="B53" s="62"/>
      <c r="C53" s="54" t="s">
        <v>68</v>
      </c>
      <c r="D53" s="104"/>
      <c r="E53" s="55">
        <f>0.5*D51</f>
        <v>375</v>
      </c>
      <c r="F53" s="56" t="s">
        <v>132</v>
      </c>
      <c r="G53" s="56" t="s">
        <v>75</v>
      </c>
    </row>
    <row r="54" spans="2:9" ht="75.75" x14ac:dyDescent="0.25">
      <c r="B54" s="56" t="s">
        <v>268</v>
      </c>
      <c r="C54" s="54" t="s">
        <v>200</v>
      </c>
      <c r="D54" s="148">
        <v>645</v>
      </c>
      <c r="E54" s="55">
        <f>1.3*D54</f>
        <v>838.5</v>
      </c>
      <c r="F54" s="56" t="s">
        <v>67</v>
      </c>
      <c r="G54" s="56" t="s">
        <v>269</v>
      </c>
    </row>
    <row r="55" spans="2:9" ht="54" x14ac:dyDescent="0.25">
      <c r="B55" s="48" t="s">
        <v>270</v>
      </c>
      <c r="C55" s="54" t="s">
        <v>10</v>
      </c>
      <c r="D55" s="149">
        <v>2145</v>
      </c>
      <c r="E55" s="82">
        <f>2.5*D55</f>
        <v>5362.5</v>
      </c>
      <c r="F55" s="56" t="s">
        <v>271</v>
      </c>
      <c r="G55" s="56" t="s">
        <v>119</v>
      </c>
    </row>
    <row r="56" spans="2:9" ht="36" x14ac:dyDescent="0.25">
      <c r="B56" s="57"/>
      <c r="C56" s="54" t="s">
        <v>66</v>
      </c>
      <c r="D56" s="104"/>
      <c r="E56" s="82">
        <f>0.15*D55</f>
        <v>321.75</v>
      </c>
      <c r="F56" s="56" t="s">
        <v>85</v>
      </c>
      <c r="G56" s="56" t="s">
        <v>79</v>
      </c>
    </row>
    <row r="57" spans="2:9" ht="20.25" customHeight="1" x14ac:dyDescent="0.25">
      <c r="B57" s="48" t="s">
        <v>272</v>
      </c>
      <c r="C57" s="54" t="s">
        <v>178</v>
      </c>
      <c r="D57" s="103">
        <v>2250</v>
      </c>
      <c r="E57" s="82">
        <f>0.4*D57</f>
        <v>900</v>
      </c>
      <c r="F57" s="71" t="s">
        <v>273</v>
      </c>
      <c r="G57" s="56" t="s">
        <v>274</v>
      </c>
    </row>
    <row r="58" spans="2:9" ht="36" x14ac:dyDescent="0.25">
      <c r="B58" s="57"/>
      <c r="C58" s="54" t="s">
        <v>141</v>
      </c>
      <c r="D58" s="104"/>
      <c r="E58" s="82">
        <f>1*D57</f>
        <v>2250</v>
      </c>
      <c r="F58" s="62"/>
      <c r="G58" s="56" t="s">
        <v>275</v>
      </c>
    </row>
    <row r="59" spans="2:9" ht="142.5" x14ac:dyDescent="0.25">
      <c r="B59" s="58" t="s">
        <v>276</v>
      </c>
      <c r="C59" s="54" t="s">
        <v>167</v>
      </c>
      <c r="D59" s="46">
        <v>4950</v>
      </c>
      <c r="E59" s="55">
        <f>0.075*D59</f>
        <v>371.25</v>
      </c>
      <c r="F59" s="56" t="s">
        <v>277</v>
      </c>
      <c r="G59" s="56" t="s">
        <v>168</v>
      </c>
      <c r="I59" s="24" t="s">
        <v>0</v>
      </c>
    </row>
    <row r="60" spans="2:9" ht="54" x14ac:dyDescent="0.25">
      <c r="B60" s="58" t="s">
        <v>278</v>
      </c>
      <c r="C60" s="54" t="s">
        <v>4</v>
      </c>
      <c r="D60" s="148">
        <v>3520</v>
      </c>
      <c r="E60" s="82">
        <f>0.4*D60</f>
        <v>1408</v>
      </c>
      <c r="F60" s="56" t="s">
        <v>12</v>
      </c>
      <c r="G60" s="56" t="s">
        <v>279</v>
      </c>
    </row>
    <row r="61" spans="2:9" ht="40.5" customHeight="1" x14ac:dyDescent="0.25">
      <c r="B61" s="48" t="s">
        <v>280</v>
      </c>
      <c r="C61" s="54" t="s">
        <v>281</v>
      </c>
      <c r="D61" s="103">
        <v>2100</v>
      </c>
      <c r="E61" s="82">
        <f>0.25*D61</f>
        <v>525</v>
      </c>
      <c r="F61" s="56" t="s">
        <v>88</v>
      </c>
      <c r="G61" s="71" t="s">
        <v>282</v>
      </c>
    </row>
    <row r="62" spans="2:9" ht="21" x14ac:dyDescent="0.25">
      <c r="B62" s="57"/>
      <c r="C62" s="54" t="s">
        <v>182</v>
      </c>
      <c r="D62" s="104"/>
      <c r="E62" s="82">
        <f>0.4*D61</f>
        <v>840</v>
      </c>
      <c r="F62" s="56" t="s">
        <v>283</v>
      </c>
      <c r="G62" s="62"/>
    </row>
    <row r="63" spans="2:9" ht="39.75" x14ac:dyDescent="0.25">
      <c r="B63" s="58" t="s">
        <v>284</v>
      </c>
      <c r="C63" s="54" t="s">
        <v>152</v>
      </c>
      <c r="D63" s="46">
        <v>24000</v>
      </c>
      <c r="E63" s="82">
        <f>0.05*D63</f>
        <v>1200</v>
      </c>
      <c r="F63" s="56" t="s">
        <v>6</v>
      </c>
      <c r="G63" s="56" t="s">
        <v>115</v>
      </c>
    </row>
    <row r="64" spans="2:9" ht="39.75" x14ac:dyDescent="0.25">
      <c r="B64" s="58" t="s">
        <v>285</v>
      </c>
      <c r="C64" s="54" t="s">
        <v>13</v>
      </c>
      <c r="D64" s="148">
        <v>780</v>
      </c>
      <c r="E64" s="55">
        <f>0.5*D64</f>
        <v>390</v>
      </c>
      <c r="F64" s="56" t="s">
        <v>123</v>
      </c>
      <c r="G64" s="56" t="s">
        <v>83</v>
      </c>
    </row>
    <row r="65" spans="2:7" ht="20.25" customHeight="1" x14ac:dyDescent="0.25">
      <c r="B65" s="48" t="s">
        <v>286</v>
      </c>
      <c r="C65" s="71" t="s">
        <v>182</v>
      </c>
      <c r="D65" s="103">
        <v>3000</v>
      </c>
      <c r="E65" s="108">
        <f>0.4*D65</f>
        <v>1200</v>
      </c>
      <c r="F65" s="71" t="s">
        <v>287</v>
      </c>
      <c r="G65" s="71" t="s">
        <v>151</v>
      </c>
    </row>
    <row r="66" spans="2:7" ht="21" x14ac:dyDescent="0.2">
      <c r="B66" s="57"/>
      <c r="C66" s="62"/>
      <c r="D66" s="104"/>
      <c r="E66" s="109"/>
      <c r="F66" s="62"/>
      <c r="G66" s="62"/>
    </row>
    <row r="67" spans="2:7" ht="36" x14ac:dyDescent="0.25">
      <c r="B67" s="58" t="s">
        <v>288</v>
      </c>
      <c r="C67" s="54" t="s">
        <v>15</v>
      </c>
      <c r="D67" s="148">
        <v>1430</v>
      </c>
      <c r="E67" s="55">
        <f>1.5*D67</f>
        <v>2145</v>
      </c>
      <c r="F67" s="56" t="s">
        <v>16</v>
      </c>
      <c r="G67" s="56" t="s">
        <v>86</v>
      </c>
    </row>
    <row r="68" spans="2:7" ht="36" x14ac:dyDescent="0.25">
      <c r="B68" s="48" t="s">
        <v>289</v>
      </c>
      <c r="C68" s="54" t="s">
        <v>17</v>
      </c>
      <c r="D68" s="103">
        <v>2500</v>
      </c>
      <c r="E68" s="55">
        <f>0.9*D68</f>
        <v>2250</v>
      </c>
      <c r="F68" s="56" t="s">
        <v>18</v>
      </c>
      <c r="G68" s="56" t="s">
        <v>87</v>
      </c>
    </row>
    <row r="69" spans="2:7" ht="20.25" customHeight="1" x14ac:dyDescent="0.25">
      <c r="B69" s="52"/>
      <c r="C69" s="54">
        <v>1.6</v>
      </c>
      <c r="D69" s="105"/>
      <c r="E69" s="55">
        <f>1.6*D68</f>
        <v>4000</v>
      </c>
      <c r="F69" s="56" t="s">
        <v>19</v>
      </c>
      <c r="G69" s="71" t="s">
        <v>87</v>
      </c>
    </row>
    <row r="70" spans="2:7" ht="21" x14ac:dyDescent="0.25">
      <c r="B70" s="57"/>
      <c r="C70" s="54">
        <v>1.4</v>
      </c>
      <c r="D70" s="104"/>
      <c r="E70" s="55">
        <f>1.4*D68</f>
        <v>3500</v>
      </c>
      <c r="F70" s="56" t="s">
        <v>20</v>
      </c>
      <c r="G70" s="62"/>
    </row>
    <row r="71" spans="2:7" ht="36" x14ac:dyDescent="0.25">
      <c r="B71" s="89" t="s">
        <v>290</v>
      </c>
      <c r="C71" s="78">
        <v>0.5</v>
      </c>
      <c r="D71" s="149">
        <v>4545</v>
      </c>
      <c r="E71" s="61">
        <f>0.5*D71</f>
        <v>2272.5</v>
      </c>
      <c r="F71" s="80" t="s">
        <v>16</v>
      </c>
      <c r="G71" s="80" t="s">
        <v>150</v>
      </c>
    </row>
    <row r="72" spans="2:7" ht="36" x14ac:dyDescent="0.25">
      <c r="B72" s="91"/>
      <c r="C72" s="78" t="s">
        <v>107</v>
      </c>
      <c r="D72" s="111"/>
      <c r="E72" s="61">
        <f>0.7*D71</f>
        <v>3181.5</v>
      </c>
      <c r="F72" s="80" t="s">
        <v>18</v>
      </c>
      <c r="G72" s="80" t="s">
        <v>87</v>
      </c>
    </row>
    <row r="73" spans="2:7" ht="57.75" x14ac:dyDescent="0.25">
      <c r="B73" s="58" t="s">
        <v>291</v>
      </c>
      <c r="C73" s="54" t="s">
        <v>4</v>
      </c>
      <c r="D73" s="46">
        <v>2500</v>
      </c>
      <c r="E73" s="82">
        <f>0.4*D73</f>
        <v>1000</v>
      </c>
      <c r="F73" s="56" t="s">
        <v>229</v>
      </c>
      <c r="G73" s="56" t="s">
        <v>21</v>
      </c>
    </row>
    <row r="74" spans="2:7" ht="54" x14ac:dyDescent="0.25">
      <c r="B74" s="58" t="s">
        <v>292</v>
      </c>
      <c r="C74" s="54" t="s">
        <v>69</v>
      </c>
      <c r="D74" s="46">
        <v>1450</v>
      </c>
      <c r="E74" s="55">
        <f>0.8*D74</f>
        <v>1160</v>
      </c>
      <c r="F74" s="56" t="s">
        <v>85</v>
      </c>
      <c r="G74" s="56" t="s">
        <v>293</v>
      </c>
    </row>
    <row r="75" spans="2:7" ht="54" x14ac:dyDescent="0.25">
      <c r="B75" s="48" t="s">
        <v>294</v>
      </c>
      <c r="C75" s="54">
        <v>0.01</v>
      </c>
      <c r="D75" s="103">
        <v>11900</v>
      </c>
      <c r="E75" s="55">
        <f>0.01*D75</f>
        <v>119</v>
      </c>
      <c r="F75" s="56" t="s">
        <v>123</v>
      </c>
      <c r="G75" s="56" t="s">
        <v>295</v>
      </c>
    </row>
    <row r="76" spans="2:7" ht="36" x14ac:dyDescent="0.25">
      <c r="B76" s="57"/>
      <c r="C76" s="54" t="s">
        <v>76</v>
      </c>
      <c r="D76" s="104"/>
      <c r="E76" s="55">
        <f>0.008*D75</f>
        <v>95.2</v>
      </c>
      <c r="F76" s="56" t="s">
        <v>67</v>
      </c>
      <c r="G76" s="56" t="s">
        <v>124</v>
      </c>
    </row>
    <row r="77" spans="2:7" ht="20.25" customHeight="1" x14ac:dyDescent="0.25">
      <c r="B77" s="48" t="s">
        <v>296</v>
      </c>
      <c r="C77" s="71" t="s">
        <v>63</v>
      </c>
      <c r="D77" s="103">
        <v>14500</v>
      </c>
      <c r="E77" s="106">
        <f>0.009*D77</f>
        <v>130.5</v>
      </c>
      <c r="F77" s="71" t="s">
        <v>88</v>
      </c>
      <c r="G77" s="71" t="s">
        <v>297</v>
      </c>
    </row>
    <row r="78" spans="2:7" ht="21" x14ac:dyDescent="0.2">
      <c r="B78" s="57"/>
      <c r="C78" s="62"/>
      <c r="D78" s="104"/>
      <c r="E78" s="107"/>
      <c r="F78" s="62"/>
      <c r="G78" s="62"/>
    </row>
    <row r="79" spans="2:7" ht="20.25" customHeight="1" x14ac:dyDescent="0.25">
      <c r="B79" s="48" t="s">
        <v>298</v>
      </c>
      <c r="C79" s="71" t="s">
        <v>22</v>
      </c>
      <c r="D79" s="112">
        <v>1750</v>
      </c>
      <c r="E79" s="106">
        <f>0.4*D79</f>
        <v>700</v>
      </c>
      <c r="F79" s="71" t="s">
        <v>137</v>
      </c>
      <c r="G79" s="71" t="s">
        <v>130</v>
      </c>
    </row>
    <row r="80" spans="2:7" ht="21" x14ac:dyDescent="0.2">
      <c r="B80" s="52"/>
      <c r="C80" s="62"/>
      <c r="D80" s="113"/>
      <c r="E80" s="107"/>
      <c r="F80" s="62"/>
      <c r="G80" s="65"/>
    </row>
    <row r="81" spans="2:11" ht="28.5" customHeight="1" x14ac:dyDescent="0.25">
      <c r="B81" s="57"/>
      <c r="C81" s="54" t="s">
        <v>174</v>
      </c>
      <c r="D81" s="114"/>
      <c r="E81" s="55">
        <f>0.8*D79</f>
        <v>1400</v>
      </c>
      <c r="F81" s="73" t="s">
        <v>67</v>
      </c>
      <c r="G81" s="62"/>
    </row>
    <row r="82" spans="2:11" ht="62.25" customHeight="1" x14ac:dyDescent="0.25">
      <c r="B82" s="52" t="s">
        <v>299</v>
      </c>
      <c r="C82" s="54" t="s">
        <v>197</v>
      </c>
      <c r="D82" s="46">
        <v>15500</v>
      </c>
      <c r="E82" s="55">
        <f>0.01*D82</f>
        <v>155</v>
      </c>
      <c r="F82" s="73" t="s">
        <v>300</v>
      </c>
      <c r="G82" s="62" t="s">
        <v>301</v>
      </c>
    </row>
    <row r="83" spans="2:11" ht="42.75" customHeight="1" x14ac:dyDescent="0.25">
      <c r="B83" s="48" t="s">
        <v>302</v>
      </c>
      <c r="C83" s="54" t="s">
        <v>183</v>
      </c>
      <c r="D83" s="149">
        <v>7490</v>
      </c>
      <c r="E83" s="55">
        <f>0.25*D83</f>
        <v>1872.5</v>
      </c>
      <c r="F83" s="73" t="s">
        <v>128</v>
      </c>
      <c r="G83" s="62" t="s">
        <v>184</v>
      </c>
    </row>
    <row r="84" spans="2:11" ht="132" customHeight="1" x14ac:dyDescent="0.25">
      <c r="B84" s="57"/>
      <c r="C84" s="54" t="s">
        <v>32</v>
      </c>
      <c r="D84" s="104"/>
      <c r="E84" s="55">
        <f>0.3*D83</f>
        <v>2247</v>
      </c>
      <c r="F84" s="73" t="s">
        <v>303</v>
      </c>
      <c r="G84" s="62" t="s">
        <v>184</v>
      </c>
    </row>
    <row r="85" spans="2:11" ht="72" x14ac:dyDescent="0.25">
      <c r="B85" s="52" t="s">
        <v>304</v>
      </c>
      <c r="C85" s="54" t="s">
        <v>65</v>
      </c>
      <c r="D85" s="63">
        <v>44340</v>
      </c>
      <c r="E85" s="64">
        <v>2956</v>
      </c>
      <c r="F85" s="68" t="s">
        <v>126</v>
      </c>
      <c r="G85" s="65" t="s">
        <v>184</v>
      </c>
      <c r="I85" s="66"/>
      <c r="J85" s="67"/>
      <c r="K85" s="66">
        <f>I85/15</f>
        <v>0</v>
      </c>
    </row>
    <row r="86" spans="2:11" ht="25.5" customHeight="1" x14ac:dyDescent="0.25">
      <c r="B86" s="48" t="s">
        <v>305</v>
      </c>
      <c r="C86" s="54" t="s">
        <v>196</v>
      </c>
      <c r="D86" s="149">
        <v>3320</v>
      </c>
      <c r="E86" s="55">
        <f>5*D86</f>
        <v>16600</v>
      </c>
      <c r="F86" s="68" t="s">
        <v>258</v>
      </c>
      <c r="G86" s="71" t="s">
        <v>306</v>
      </c>
    </row>
    <row r="87" spans="2:11" ht="21" customHeight="1" x14ac:dyDescent="0.25">
      <c r="B87" s="57"/>
      <c r="C87" s="54" t="s">
        <v>144</v>
      </c>
      <c r="D87" s="104"/>
      <c r="E87" s="55">
        <f>1.5*D86</f>
        <v>4980</v>
      </c>
      <c r="F87" s="69"/>
      <c r="G87" s="62"/>
    </row>
    <row r="88" spans="2:11" ht="44.25" customHeight="1" x14ac:dyDescent="0.25">
      <c r="B88" s="58" t="s">
        <v>307</v>
      </c>
      <c r="C88" s="70" t="s">
        <v>127</v>
      </c>
      <c r="D88" s="46">
        <v>15300</v>
      </c>
      <c r="E88" s="55">
        <f>0.01*D88</f>
        <v>153</v>
      </c>
      <c r="F88" s="73" t="s">
        <v>88</v>
      </c>
      <c r="G88" s="56" t="s">
        <v>83</v>
      </c>
    </row>
    <row r="89" spans="2:11" ht="39.75" customHeight="1" x14ac:dyDescent="0.25">
      <c r="B89" s="48" t="s">
        <v>308</v>
      </c>
      <c r="C89" s="70" t="s">
        <v>192</v>
      </c>
      <c r="D89" s="149">
        <v>1605</v>
      </c>
      <c r="E89" s="55">
        <f>1.3*D89</f>
        <v>2086.5</v>
      </c>
      <c r="F89" s="73" t="s">
        <v>309</v>
      </c>
      <c r="G89" s="71" t="s">
        <v>310</v>
      </c>
    </row>
    <row r="90" spans="2:11" ht="24.75" customHeight="1" x14ac:dyDescent="0.25">
      <c r="B90" s="57"/>
      <c r="C90" s="70" t="s">
        <v>193</v>
      </c>
      <c r="D90" s="104"/>
      <c r="E90" s="55">
        <f>1.6*D89</f>
        <v>2568</v>
      </c>
      <c r="F90" s="73" t="s">
        <v>258</v>
      </c>
      <c r="G90" s="62"/>
    </row>
    <row r="91" spans="2:11" ht="44.25" customHeight="1" x14ac:dyDescent="0.25">
      <c r="B91" s="48" t="s">
        <v>311</v>
      </c>
      <c r="C91" s="70" t="s">
        <v>144</v>
      </c>
      <c r="D91" s="103">
        <v>1200</v>
      </c>
      <c r="E91" s="55">
        <f>1.5*D91</f>
        <v>1800</v>
      </c>
      <c r="F91" s="73" t="s">
        <v>312</v>
      </c>
      <c r="G91" s="71" t="s">
        <v>150</v>
      </c>
    </row>
    <row r="92" spans="2:11" ht="25.5" customHeight="1" x14ac:dyDescent="0.25">
      <c r="B92" s="52"/>
      <c r="C92" s="49">
        <v>2</v>
      </c>
      <c r="D92" s="105"/>
      <c r="E92" s="82">
        <f>2*D91</f>
        <v>2400</v>
      </c>
      <c r="F92" s="56" t="s">
        <v>191</v>
      </c>
      <c r="G92" s="71" t="s">
        <v>28</v>
      </c>
    </row>
    <row r="93" spans="2:11" ht="21" customHeight="1" x14ac:dyDescent="0.25">
      <c r="B93" s="57"/>
      <c r="C93" s="54" t="s">
        <v>144</v>
      </c>
      <c r="D93" s="104"/>
      <c r="E93" s="55">
        <f>1.5*D91</f>
        <v>1800</v>
      </c>
      <c r="F93" s="56" t="s">
        <v>1</v>
      </c>
      <c r="G93" s="62"/>
    </row>
    <row r="94" spans="2:11" ht="40.5" customHeight="1" x14ac:dyDescent="0.25">
      <c r="B94" s="48" t="s">
        <v>313</v>
      </c>
      <c r="C94" s="51" t="s">
        <v>23</v>
      </c>
      <c r="D94" s="103">
        <v>620</v>
      </c>
      <c r="E94" s="55">
        <f>2*D94</f>
        <v>1240</v>
      </c>
      <c r="F94" s="73" t="s">
        <v>11</v>
      </c>
      <c r="G94" s="56" t="s">
        <v>207</v>
      </c>
    </row>
    <row r="95" spans="2:11" ht="18.75" customHeight="1" x14ac:dyDescent="0.25">
      <c r="B95" s="52"/>
      <c r="C95" s="115" t="s">
        <v>24</v>
      </c>
      <c r="D95" s="105"/>
      <c r="E95" s="106">
        <f>1.5*D94</f>
        <v>930</v>
      </c>
      <c r="F95" s="71" t="s">
        <v>314</v>
      </c>
      <c r="G95" s="71" t="s">
        <v>89</v>
      </c>
    </row>
    <row r="96" spans="2:11" ht="60" customHeight="1" x14ac:dyDescent="0.2">
      <c r="B96" s="52"/>
      <c r="C96" s="116"/>
      <c r="D96" s="105"/>
      <c r="E96" s="107"/>
      <c r="F96" s="62"/>
      <c r="G96" s="62"/>
    </row>
    <row r="97" spans="2:7" ht="36" x14ac:dyDescent="0.25">
      <c r="B97" s="52"/>
      <c r="C97" s="72" t="s">
        <v>25</v>
      </c>
      <c r="D97" s="105"/>
      <c r="E97" s="55">
        <f>2*D94</f>
        <v>1240</v>
      </c>
      <c r="F97" s="73" t="s">
        <v>169</v>
      </c>
      <c r="G97" s="56" t="s">
        <v>89</v>
      </c>
    </row>
    <row r="98" spans="2:7" ht="21" x14ac:dyDescent="0.25">
      <c r="B98" s="52"/>
      <c r="C98" s="72" t="s">
        <v>26</v>
      </c>
      <c r="D98" s="105"/>
      <c r="E98" s="55">
        <f>1*D94</f>
        <v>620</v>
      </c>
      <c r="F98" s="73" t="s">
        <v>27</v>
      </c>
      <c r="G98" s="56" t="s">
        <v>28</v>
      </c>
    </row>
    <row r="99" spans="2:7" ht="20.25" customHeight="1" x14ac:dyDescent="0.25">
      <c r="B99" s="52"/>
      <c r="C99" s="115" t="s">
        <v>29</v>
      </c>
      <c r="D99" s="105"/>
      <c r="E99" s="106">
        <f>1.5*D94</f>
        <v>930</v>
      </c>
      <c r="F99" s="68" t="s">
        <v>190</v>
      </c>
      <c r="G99" s="71" t="s">
        <v>89</v>
      </c>
    </row>
    <row r="100" spans="2:7" ht="21" x14ac:dyDescent="0.2">
      <c r="B100" s="52"/>
      <c r="C100" s="117"/>
      <c r="D100" s="105"/>
      <c r="E100" s="118"/>
      <c r="F100" s="65"/>
      <c r="G100" s="65"/>
    </row>
    <row r="101" spans="2:7" ht="21" x14ac:dyDescent="0.2">
      <c r="B101" s="57"/>
      <c r="C101" s="116"/>
      <c r="D101" s="104"/>
      <c r="E101" s="107"/>
      <c r="F101" s="62"/>
      <c r="G101" s="62"/>
    </row>
    <row r="102" spans="2:7" ht="20.25" customHeight="1" x14ac:dyDescent="0.25">
      <c r="B102" s="48" t="s">
        <v>315</v>
      </c>
      <c r="C102" s="54" t="s">
        <v>141</v>
      </c>
      <c r="D102" s="103">
        <v>650</v>
      </c>
      <c r="E102" s="74">
        <f>1*D102</f>
        <v>650</v>
      </c>
      <c r="F102" s="62" t="s">
        <v>142</v>
      </c>
      <c r="G102" s="62" t="s">
        <v>28</v>
      </c>
    </row>
    <row r="103" spans="2:7" ht="36" x14ac:dyDescent="0.25">
      <c r="B103" s="52"/>
      <c r="C103" s="54" t="s">
        <v>143</v>
      </c>
      <c r="D103" s="105"/>
      <c r="E103" s="74">
        <f>2*D102</f>
        <v>1300</v>
      </c>
      <c r="F103" s="62" t="s">
        <v>90</v>
      </c>
      <c r="G103" s="62" t="s">
        <v>89</v>
      </c>
    </row>
    <row r="104" spans="2:7" ht="20.25" customHeight="1" x14ac:dyDescent="0.25">
      <c r="B104" s="52"/>
      <c r="C104" s="54" t="s">
        <v>144</v>
      </c>
      <c r="D104" s="105"/>
      <c r="E104" s="74">
        <f>1.5*D102</f>
        <v>975</v>
      </c>
      <c r="F104" s="71" t="s">
        <v>145</v>
      </c>
      <c r="G104" s="71" t="s">
        <v>89</v>
      </c>
    </row>
    <row r="105" spans="2:7" ht="21" x14ac:dyDescent="0.25">
      <c r="B105" s="52"/>
      <c r="C105" s="54" t="s">
        <v>146</v>
      </c>
      <c r="D105" s="105"/>
      <c r="E105" s="74">
        <f>1.5*D102</f>
        <v>975</v>
      </c>
      <c r="F105" s="62"/>
      <c r="G105" s="62"/>
    </row>
    <row r="106" spans="2:7" ht="36" x14ac:dyDescent="0.25">
      <c r="B106" s="52"/>
      <c r="C106" s="54" t="s">
        <v>146</v>
      </c>
      <c r="D106" s="105"/>
      <c r="E106" s="74">
        <f>1.5*D102</f>
        <v>975</v>
      </c>
      <c r="F106" s="71" t="s">
        <v>11</v>
      </c>
      <c r="G106" s="62" t="s">
        <v>89</v>
      </c>
    </row>
    <row r="107" spans="2:7" ht="21" x14ac:dyDescent="0.25">
      <c r="B107" s="57"/>
      <c r="C107" s="49">
        <v>4</v>
      </c>
      <c r="D107" s="104"/>
      <c r="E107" s="74">
        <f>4*D102</f>
        <v>2600</v>
      </c>
      <c r="F107" s="62"/>
      <c r="G107" s="62" t="s">
        <v>147</v>
      </c>
    </row>
    <row r="108" spans="2:7" ht="39.75" x14ac:dyDescent="0.25">
      <c r="B108" s="58" t="s">
        <v>316</v>
      </c>
      <c r="C108" s="82">
        <v>0.02</v>
      </c>
      <c r="D108" s="75">
        <v>52200</v>
      </c>
      <c r="E108" s="74">
        <f>0.02*D108</f>
        <v>1044</v>
      </c>
      <c r="F108" s="56" t="s">
        <v>172</v>
      </c>
      <c r="G108" s="56" t="s">
        <v>173</v>
      </c>
    </row>
    <row r="109" spans="2:7" ht="20.25" customHeight="1" x14ac:dyDescent="0.25">
      <c r="B109" s="48" t="s">
        <v>317</v>
      </c>
      <c r="C109" s="71">
        <v>0.1</v>
      </c>
      <c r="D109" s="103">
        <v>15200</v>
      </c>
      <c r="E109" s="106">
        <f>0.1*D109</f>
        <v>1520</v>
      </c>
      <c r="F109" s="71" t="s">
        <v>16</v>
      </c>
      <c r="G109" s="71" t="s">
        <v>91</v>
      </c>
    </row>
    <row r="110" spans="2:7" ht="21" x14ac:dyDescent="0.2">
      <c r="B110" s="57"/>
      <c r="C110" s="62"/>
      <c r="D110" s="104"/>
      <c r="E110" s="107"/>
      <c r="F110" s="62"/>
      <c r="G110" s="62"/>
    </row>
    <row r="111" spans="2:7" ht="36" x14ac:dyDescent="0.25">
      <c r="B111" s="48" t="s">
        <v>318</v>
      </c>
      <c r="C111" s="54" t="s">
        <v>319</v>
      </c>
      <c r="D111" s="103">
        <v>9900</v>
      </c>
      <c r="E111" s="55">
        <f>0.06*D111</f>
        <v>594</v>
      </c>
      <c r="F111" s="56" t="s">
        <v>320</v>
      </c>
      <c r="G111" s="56" t="s">
        <v>321</v>
      </c>
    </row>
    <row r="112" spans="2:7" ht="20.25" customHeight="1" x14ac:dyDescent="0.25">
      <c r="B112" s="52"/>
      <c r="C112" s="54" t="s">
        <v>64</v>
      </c>
      <c r="D112" s="105"/>
      <c r="E112" s="55">
        <f>0.08*D111</f>
        <v>792</v>
      </c>
      <c r="F112" s="56" t="s">
        <v>67</v>
      </c>
      <c r="G112" s="71" t="s">
        <v>322</v>
      </c>
    </row>
    <row r="113" spans="2:7" ht="21" x14ac:dyDescent="0.25">
      <c r="B113" s="52"/>
      <c r="C113" s="54" t="s">
        <v>77</v>
      </c>
      <c r="D113" s="105"/>
      <c r="E113" s="55">
        <f>0.12*D111</f>
        <v>1188</v>
      </c>
      <c r="F113" s="56" t="s">
        <v>74</v>
      </c>
      <c r="G113" s="65"/>
    </row>
    <row r="114" spans="2:7" ht="21" x14ac:dyDescent="0.25">
      <c r="B114" s="52"/>
      <c r="C114" s="54" t="s">
        <v>77</v>
      </c>
      <c r="D114" s="105"/>
      <c r="E114" s="55">
        <f>0.12*D111</f>
        <v>1188</v>
      </c>
      <c r="F114" s="56" t="s">
        <v>258</v>
      </c>
      <c r="G114" s="65"/>
    </row>
    <row r="115" spans="2:7" ht="21" x14ac:dyDescent="0.25">
      <c r="B115" s="52"/>
      <c r="C115" s="54" t="s">
        <v>78</v>
      </c>
      <c r="D115" s="105"/>
      <c r="E115" s="55">
        <f>0.12*D111</f>
        <v>1188</v>
      </c>
      <c r="F115" s="56" t="s">
        <v>50</v>
      </c>
      <c r="G115" s="65"/>
    </row>
    <row r="116" spans="2:7" ht="21" x14ac:dyDescent="0.25">
      <c r="B116" s="57"/>
      <c r="C116" s="54" t="s">
        <v>77</v>
      </c>
      <c r="D116" s="104"/>
      <c r="E116" s="55">
        <f>0.12*D111</f>
        <v>1188</v>
      </c>
      <c r="F116" s="56" t="s">
        <v>323</v>
      </c>
      <c r="G116" s="62"/>
    </row>
    <row r="117" spans="2:7" ht="36" x14ac:dyDescent="0.25">
      <c r="B117" s="48" t="s">
        <v>324</v>
      </c>
      <c r="C117" s="60" t="s">
        <v>325</v>
      </c>
      <c r="D117" s="46">
        <v>6100</v>
      </c>
      <c r="E117" s="55">
        <f>0.15*D117</f>
        <v>915</v>
      </c>
      <c r="F117" s="56" t="s">
        <v>6</v>
      </c>
      <c r="G117" s="71" t="s">
        <v>83</v>
      </c>
    </row>
    <row r="118" spans="2:7" ht="57.75" x14ac:dyDescent="0.25">
      <c r="B118" s="48" t="s">
        <v>326</v>
      </c>
      <c r="C118" s="60" t="s">
        <v>70</v>
      </c>
      <c r="D118" s="148">
        <v>965</v>
      </c>
      <c r="E118" s="76">
        <f>3*D118</f>
        <v>2895</v>
      </c>
      <c r="F118" s="71" t="s">
        <v>212</v>
      </c>
      <c r="G118" s="71" t="s">
        <v>213</v>
      </c>
    </row>
    <row r="119" spans="2:7" ht="20.25" customHeight="1" x14ac:dyDescent="0.25">
      <c r="B119" s="48" t="s">
        <v>327</v>
      </c>
      <c r="C119" s="54" t="s">
        <v>113</v>
      </c>
      <c r="D119" s="103">
        <v>38000</v>
      </c>
      <c r="E119" s="55">
        <f>0.02*D119</f>
        <v>760</v>
      </c>
      <c r="F119" s="56" t="s">
        <v>6</v>
      </c>
      <c r="G119" s="71" t="s">
        <v>114</v>
      </c>
    </row>
    <row r="120" spans="2:7" ht="21" x14ac:dyDescent="0.25">
      <c r="B120" s="52"/>
      <c r="C120" s="54">
        <v>2.5000000000000001E-2</v>
      </c>
      <c r="D120" s="105"/>
      <c r="E120" s="55">
        <f>C120*D119</f>
        <v>950</v>
      </c>
      <c r="F120" s="56" t="s">
        <v>18</v>
      </c>
      <c r="G120" s="65"/>
    </row>
    <row r="121" spans="2:7" ht="21" x14ac:dyDescent="0.25">
      <c r="B121" s="52"/>
      <c r="C121" s="54">
        <v>2.5000000000000001E-2</v>
      </c>
      <c r="D121" s="105"/>
      <c r="E121" s="55">
        <f>C121*D119</f>
        <v>950</v>
      </c>
      <c r="F121" s="56" t="s">
        <v>19</v>
      </c>
      <c r="G121" s="65"/>
    </row>
    <row r="122" spans="2:7" ht="21" x14ac:dyDescent="0.25">
      <c r="B122" s="57"/>
      <c r="C122" s="54">
        <v>2.5000000000000001E-2</v>
      </c>
      <c r="D122" s="104"/>
      <c r="E122" s="55">
        <f>C122*D119</f>
        <v>950</v>
      </c>
      <c r="F122" s="56" t="s">
        <v>20</v>
      </c>
      <c r="G122" s="62"/>
    </row>
    <row r="123" spans="2:7" ht="39.75" x14ac:dyDescent="0.25">
      <c r="B123" s="58" t="s">
        <v>328</v>
      </c>
      <c r="C123" s="54" t="s">
        <v>329</v>
      </c>
      <c r="D123" s="46">
        <v>30500</v>
      </c>
      <c r="E123" s="55">
        <f>0.015*D123</f>
        <v>457.5</v>
      </c>
      <c r="F123" s="56" t="s">
        <v>55</v>
      </c>
      <c r="G123" s="62" t="s">
        <v>83</v>
      </c>
    </row>
    <row r="124" spans="2:7" ht="21" x14ac:dyDescent="0.2">
      <c r="B124" s="171" t="s">
        <v>330</v>
      </c>
      <c r="C124" s="172"/>
      <c r="D124" s="172"/>
      <c r="E124" s="172"/>
      <c r="F124" s="172"/>
      <c r="G124" s="173"/>
    </row>
    <row r="125" spans="2:7" ht="39.75" x14ac:dyDescent="0.25">
      <c r="B125" s="71" t="s">
        <v>331</v>
      </c>
      <c r="C125" s="54" t="s">
        <v>141</v>
      </c>
      <c r="D125" s="149">
        <v>1540</v>
      </c>
      <c r="E125" s="82">
        <f>1*D125</f>
        <v>1540</v>
      </c>
      <c r="F125" s="56" t="s">
        <v>116</v>
      </c>
      <c r="G125" s="56" t="s">
        <v>332</v>
      </c>
    </row>
    <row r="126" spans="2:7" ht="21" x14ac:dyDescent="0.25">
      <c r="B126" s="62"/>
      <c r="C126" s="49">
        <v>2</v>
      </c>
      <c r="D126" s="104"/>
      <c r="E126" s="82">
        <f>C126*D125</f>
        <v>3080</v>
      </c>
      <c r="F126" s="56" t="s">
        <v>30</v>
      </c>
      <c r="G126" s="56" t="s">
        <v>333</v>
      </c>
    </row>
    <row r="127" spans="2:7" ht="20.25" customHeight="1" x14ac:dyDescent="0.25">
      <c r="B127" s="89" t="s">
        <v>334</v>
      </c>
      <c r="C127" s="119" t="s">
        <v>165</v>
      </c>
      <c r="D127" s="110">
        <v>1725</v>
      </c>
      <c r="E127" s="120">
        <f>0.5*D127</f>
        <v>862.5</v>
      </c>
      <c r="F127" s="119" t="s">
        <v>123</v>
      </c>
      <c r="G127" s="119" t="s">
        <v>335</v>
      </c>
    </row>
    <row r="128" spans="2:7" ht="21" x14ac:dyDescent="0.2">
      <c r="B128" s="90"/>
      <c r="C128" s="121"/>
      <c r="D128" s="122"/>
      <c r="E128" s="123"/>
      <c r="F128" s="121"/>
      <c r="G128" s="121"/>
    </row>
    <row r="129" spans="2:7" ht="21" x14ac:dyDescent="0.2">
      <c r="B129" s="90"/>
      <c r="C129" s="124"/>
      <c r="D129" s="122"/>
      <c r="E129" s="125"/>
      <c r="F129" s="124"/>
      <c r="G129" s="124"/>
    </row>
    <row r="130" spans="2:7" ht="21" x14ac:dyDescent="0.25">
      <c r="B130" s="91"/>
      <c r="C130" s="78">
        <v>0.75</v>
      </c>
      <c r="D130" s="111"/>
      <c r="E130" s="79">
        <f>C130*D127</f>
        <v>1293.75</v>
      </c>
      <c r="F130" s="80" t="s">
        <v>30</v>
      </c>
      <c r="G130" s="80" t="s">
        <v>31</v>
      </c>
    </row>
    <row r="131" spans="2:7" ht="20.25" customHeight="1" x14ac:dyDescent="0.25">
      <c r="B131" s="48" t="s">
        <v>336</v>
      </c>
      <c r="C131" s="71" t="s">
        <v>32</v>
      </c>
      <c r="D131" s="103">
        <v>2750</v>
      </c>
      <c r="E131" s="106">
        <f>0.3*D131</f>
        <v>825</v>
      </c>
      <c r="F131" s="71" t="s">
        <v>123</v>
      </c>
      <c r="G131" s="71" t="s">
        <v>337</v>
      </c>
    </row>
    <row r="132" spans="2:7" ht="21" x14ac:dyDescent="0.2">
      <c r="B132" s="52"/>
      <c r="C132" s="65"/>
      <c r="D132" s="105"/>
      <c r="E132" s="118"/>
      <c r="F132" s="65"/>
      <c r="G132" s="65"/>
    </row>
    <row r="133" spans="2:7" ht="21" x14ac:dyDescent="0.2">
      <c r="B133" s="52"/>
      <c r="C133" s="62"/>
      <c r="D133" s="105"/>
      <c r="E133" s="107"/>
      <c r="F133" s="62"/>
      <c r="G133" s="62"/>
    </row>
    <row r="134" spans="2:7" ht="21" x14ac:dyDescent="0.25">
      <c r="B134" s="52"/>
      <c r="C134" s="54" t="s">
        <v>178</v>
      </c>
      <c r="D134" s="105"/>
      <c r="E134" s="55">
        <f>0.4*D131</f>
        <v>1100</v>
      </c>
      <c r="F134" s="56" t="s">
        <v>258</v>
      </c>
      <c r="G134" s="56" t="s">
        <v>338</v>
      </c>
    </row>
    <row r="135" spans="2:7" ht="21" x14ac:dyDescent="0.25">
      <c r="B135" s="52"/>
      <c r="C135" s="54" t="s">
        <v>178</v>
      </c>
      <c r="D135" s="105"/>
      <c r="E135" s="55">
        <f>0.4*D131</f>
        <v>1100</v>
      </c>
      <c r="F135" s="56" t="s">
        <v>16</v>
      </c>
      <c r="G135" s="56" t="s">
        <v>339</v>
      </c>
    </row>
    <row r="136" spans="2:7" ht="36" x14ac:dyDescent="0.25">
      <c r="B136" s="57"/>
      <c r="C136" s="54" t="s">
        <v>178</v>
      </c>
      <c r="D136" s="104"/>
      <c r="E136" s="55">
        <f>0.4*D131</f>
        <v>1100</v>
      </c>
      <c r="F136" s="71" t="s">
        <v>340</v>
      </c>
      <c r="G136" s="56" t="s">
        <v>341</v>
      </c>
    </row>
    <row r="137" spans="2:7" ht="36" x14ac:dyDescent="0.25">
      <c r="B137" s="48" t="s">
        <v>342</v>
      </c>
      <c r="C137" s="81" t="s">
        <v>178</v>
      </c>
      <c r="D137" s="103">
        <v>1000</v>
      </c>
      <c r="E137" s="55">
        <f>0.4*D137</f>
        <v>400</v>
      </c>
      <c r="F137" s="71" t="s">
        <v>1</v>
      </c>
      <c r="G137" s="56" t="s">
        <v>343</v>
      </c>
    </row>
    <row r="138" spans="2:7" ht="36" x14ac:dyDescent="0.25">
      <c r="B138" s="52"/>
      <c r="C138" s="54" t="s">
        <v>344</v>
      </c>
      <c r="D138" s="105"/>
      <c r="E138" s="55">
        <f>0.3*D137</f>
        <v>300</v>
      </c>
      <c r="F138" s="65"/>
      <c r="G138" s="56" t="s">
        <v>345</v>
      </c>
    </row>
    <row r="139" spans="2:7" ht="21" x14ac:dyDescent="0.25">
      <c r="B139" s="52"/>
      <c r="C139" s="54" t="s">
        <v>346</v>
      </c>
      <c r="D139" s="105"/>
      <c r="E139" s="55">
        <f>0.5*D137</f>
        <v>500</v>
      </c>
      <c r="F139" s="62"/>
      <c r="G139" s="56" t="s">
        <v>347</v>
      </c>
    </row>
    <row r="140" spans="2:7" ht="21" x14ac:dyDescent="0.25">
      <c r="B140" s="52"/>
      <c r="C140" s="54" t="s">
        <v>178</v>
      </c>
      <c r="D140" s="105"/>
      <c r="E140" s="55">
        <f>0.4*D137</f>
        <v>400</v>
      </c>
      <c r="F140" s="56" t="s">
        <v>55</v>
      </c>
      <c r="G140" s="56" t="s">
        <v>348</v>
      </c>
    </row>
    <row r="141" spans="2:7" ht="36" x14ac:dyDescent="0.25">
      <c r="B141" s="57"/>
      <c r="C141" s="54" t="s">
        <v>141</v>
      </c>
      <c r="D141" s="104"/>
      <c r="E141" s="55">
        <f>1*D137</f>
        <v>1000</v>
      </c>
      <c r="F141" s="56" t="s">
        <v>116</v>
      </c>
      <c r="G141" s="56" t="s">
        <v>349</v>
      </c>
    </row>
    <row r="142" spans="2:7" ht="20.25" customHeight="1" x14ac:dyDescent="0.25">
      <c r="B142" s="48" t="s">
        <v>350</v>
      </c>
      <c r="C142" s="49">
        <v>5</v>
      </c>
      <c r="D142" s="149">
        <v>750</v>
      </c>
      <c r="E142" s="55">
        <f>C142*D142</f>
        <v>3750</v>
      </c>
      <c r="F142" s="56" t="s">
        <v>40</v>
      </c>
      <c r="G142" s="56" t="s">
        <v>351</v>
      </c>
    </row>
    <row r="143" spans="2:7" ht="21" x14ac:dyDescent="0.25">
      <c r="B143" s="52"/>
      <c r="C143" s="54" t="s">
        <v>196</v>
      </c>
      <c r="D143" s="105"/>
      <c r="E143" s="55">
        <f>5*D142</f>
        <v>3750</v>
      </c>
      <c r="F143" s="56" t="s">
        <v>39</v>
      </c>
      <c r="G143" s="56" t="s">
        <v>33</v>
      </c>
    </row>
    <row r="144" spans="2:7" ht="21" x14ac:dyDescent="0.25">
      <c r="B144" s="52"/>
      <c r="C144" s="49">
        <v>5</v>
      </c>
      <c r="D144" s="105"/>
      <c r="E144" s="55">
        <f>5*D142</f>
        <v>3750</v>
      </c>
      <c r="F144" s="56" t="s">
        <v>352</v>
      </c>
      <c r="G144" s="56" t="s">
        <v>353</v>
      </c>
    </row>
    <row r="145" spans="2:7" ht="21" x14ac:dyDescent="0.25">
      <c r="B145" s="57"/>
      <c r="C145" s="49">
        <v>5</v>
      </c>
      <c r="D145" s="104"/>
      <c r="E145" s="55">
        <f>C145*D142</f>
        <v>3750</v>
      </c>
      <c r="F145" s="56" t="s">
        <v>354</v>
      </c>
      <c r="G145" s="56" t="s">
        <v>355</v>
      </c>
    </row>
    <row r="146" spans="2:7" ht="20.25" customHeight="1" x14ac:dyDescent="0.25">
      <c r="B146" s="48" t="s">
        <v>356</v>
      </c>
      <c r="C146" s="71" t="s">
        <v>162</v>
      </c>
      <c r="D146" s="103">
        <v>1500</v>
      </c>
      <c r="E146" s="126">
        <f>2*D146</f>
        <v>3000</v>
      </c>
      <c r="F146" s="71" t="s">
        <v>357</v>
      </c>
      <c r="G146" s="127" t="s">
        <v>358</v>
      </c>
    </row>
    <row r="147" spans="2:7" ht="21" x14ac:dyDescent="0.2">
      <c r="B147" s="57"/>
      <c r="C147" s="62"/>
      <c r="D147" s="104"/>
      <c r="E147" s="128"/>
      <c r="F147" s="62"/>
      <c r="G147" s="62"/>
    </row>
    <row r="148" spans="2:7" ht="20.25" customHeight="1" x14ac:dyDescent="0.25">
      <c r="B148" s="48" t="s">
        <v>359</v>
      </c>
      <c r="C148" s="54" t="s">
        <v>162</v>
      </c>
      <c r="D148" s="149">
        <v>1285</v>
      </c>
      <c r="E148" s="82">
        <f>0.2*D148</f>
        <v>257</v>
      </c>
      <c r="F148" s="56" t="s">
        <v>18</v>
      </c>
      <c r="G148" s="83" t="s">
        <v>34</v>
      </c>
    </row>
    <row r="149" spans="2:7" ht="21" x14ac:dyDescent="0.25">
      <c r="B149" s="52"/>
      <c r="C149" s="54" t="s">
        <v>163</v>
      </c>
      <c r="D149" s="105"/>
      <c r="E149" s="55">
        <f>2.5*D148</f>
        <v>3212.5</v>
      </c>
      <c r="F149" s="56" t="s">
        <v>35</v>
      </c>
      <c r="G149" s="83" t="s">
        <v>34</v>
      </c>
    </row>
    <row r="150" spans="2:7" ht="21" x14ac:dyDescent="0.25">
      <c r="B150" s="52"/>
      <c r="C150" s="54" t="s">
        <v>163</v>
      </c>
      <c r="D150" s="105"/>
      <c r="E150" s="55">
        <f>2.5*D148</f>
        <v>3212.5</v>
      </c>
      <c r="F150" s="56" t="s">
        <v>36</v>
      </c>
      <c r="G150" s="56" t="s">
        <v>37</v>
      </c>
    </row>
    <row r="151" spans="2:7" ht="21" x14ac:dyDescent="0.25">
      <c r="B151" s="52"/>
      <c r="C151" s="54" t="s">
        <v>163</v>
      </c>
      <c r="D151" s="105"/>
      <c r="E151" s="55">
        <f>2.5*D148</f>
        <v>3212.5</v>
      </c>
      <c r="F151" s="56" t="s">
        <v>12</v>
      </c>
      <c r="G151" s="56" t="s">
        <v>38</v>
      </c>
    </row>
    <row r="152" spans="2:7" ht="21" x14ac:dyDescent="0.25">
      <c r="B152" s="57"/>
      <c r="C152" s="54" t="s">
        <v>163</v>
      </c>
      <c r="D152" s="104"/>
      <c r="E152" s="55">
        <f>2.5*D148</f>
        <v>3212.5</v>
      </c>
      <c r="F152" s="56" t="s">
        <v>39</v>
      </c>
      <c r="G152" s="56" t="s">
        <v>33</v>
      </c>
    </row>
    <row r="153" spans="2:7" ht="22.5" x14ac:dyDescent="0.25">
      <c r="B153" s="58" t="s">
        <v>360</v>
      </c>
      <c r="C153" s="54" t="s">
        <v>164</v>
      </c>
      <c r="D153" s="46">
        <v>5300</v>
      </c>
      <c r="E153" s="82">
        <f>0.15*D153</f>
        <v>795</v>
      </c>
      <c r="F153" s="56" t="s">
        <v>40</v>
      </c>
      <c r="G153" s="83" t="s">
        <v>92</v>
      </c>
    </row>
    <row r="154" spans="2:7" ht="22.5" x14ac:dyDescent="0.25">
      <c r="B154" s="48" t="s">
        <v>361</v>
      </c>
      <c r="C154" s="54" t="s">
        <v>362</v>
      </c>
      <c r="D154" s="103">
        <v>1200</v>
      </c>
      <c r="E154" s="82">
        <f>2.2*D154</f>
        <v>2640</v>
      </c>
      <c r="F154" s="56" t="s">
        <v>18</v>
      </c>
      <c r="G154" s="83" t="s">
        <v>355</v>
      </c>
    </row>
    <row r="155" spans="2:7" ht="21" x14ac:dyDescent="0.25">
      <c r="B155" s="57"/>
      <c r="C155" s="54" t="s">
        <v>363</v>
      </c>
      <c r="D155" s="104"/>
      <c r="E155" s="82">
        <f>3*D154</f>
        <v>3600</v>
      </c>
      <c r="F155" s="56" t="s">
        <v>364</v>
      </c>
      <c r="G155" s="83" t="s">
        <v>38</v>
      </c>
    </row>
    <row r="156" spans="2:7" ht="57.75" x14ac:dyDescent="0.25">
      <c r="B156" s="89" t="s">
        <v>365</v>
      </c>
      <c r="C156" s="78" t="s">
        <v>165</v>
      </c>
      <c r="D156" s="149">
        <v>5120</v>
      </c>
      <c r="E156" s="84">
        <f>0.5*D156</f>
        <v>2560</v>
      </c>
      <c r="F156" s="80" t="s">
        <v>229</v>
      </c>
      <c r="G156" s="85" t="s">
        <v>366</v>
      </c>
    </row>
    <row r="157" spans="2:7" ht="36" x14ac:dyDescent="0.25">
      <c r="B157" s="90"/>
      <c r="C157" s="78" t="s">
        <v>165</v>
      </c>
      <c r="D157" s="122"/>
      <c r="E157" s="84">
        <f>0.5*D156</f>
        <v>2560</v>
      </c>
      <c r="F157" s="80" t="s">
        <v>201</v>
      </c>
      <c r="G157" s="85" t="s">
        <v>367</v>
      </c>
    </row>
    <row r="158" spans="2:7" ht="36" x14ac:dyDescent="0.25">
      <c r="B158" s="91"/>
      <c r="C158" s="78" t="s">
        <v>344</v>
      </c>
      <c r="D158" s="111"/>
      <c r="E158" s="84">
        <f>0.3*D156</f>
        <v>1536</v>
      </c>
      <c r="F158" s="80" t="s">
        <v>202</v>
      </c>
      <c r="G158" s="85" t="s">
        <v>368</v>
      </c>
    </row>
    <row r="159" spans="2:7" ht="21" x14ac:dyDescent="0.2">
      <c r="B159" s="174" t="s">
        <v>369</v>
      </c>
      <c r="C159" s="175"/>
      <c r="D159" s="175"/>
      <c r="E159" s="175"/>
      <c r="F159" s="175"/>
      <c r="G159" s="176"/>
    </row>
    <row r="160" spans="2:7" ht="36" x14ac:dyDescent="0.25">
      <c r="B160" s="48" t="s">
        <v>370</v>
      </c>
      <c r="C160" s="54" t="s">
        <v>141</v>
      </c>
      <c r="D160" s="149">
        <v>935</v>
      </c>
      <c r="E160" s="82">
        <f>1*D160</f>
        <v>935</v>
      </c>
      <c r="F160" s="56" t="s">
        <v>203</v>
      </c>
      <c r="G160" s="56" t="s">
        <v>371</v>
      </c>
    </row>
    <row r="161" spans="2:7" ht="36" x14ac:dyDescent="0.25">
      <c r="B161" s="52"/>
      <c r="C161" s="54" t="s">
        <v>141</v>
      </c>
      <c r="D161" s="105"/>
      <c r="E161" s="82">
        <f>1*D160</f>
        <v>935</v>
      </c>
      <c r="F161" s="56" t="s">
        <v>201</v>
      </c>
      <c r="G161" s="56" t="s">
        <v>372</v>
      </c>
    </row>
    <row r="162" spans="2:7" ht="21" x14ac:dyDescent="0.25">
      <c r="B162" s="52"/>
      <c r="C162" s="54" t="s">
        <v>373</v>
      </c>
      <c r="D162" s="105"/>
      <c r="E162" s="82">
        <f>0.6*D160</f>
        <v>561</v>
      </c>
      <c r="F162" s="56" t="s">
        <v>202</v>
      </c>
      <c r="G162" s="56" t="s">
        <v>374</v>
      </c>
    </row>
    <row r="163" spans="2:7" ht="21" x14ac:dyDescent="0.25">
      <c r="B163" s="52"/>
      <c r="C163" s="54" t="s">
        <v>373</v>
      </c>
      <c r="D163" s="105"/>
      <c r="E163" s="82">
        <f>0.6*D160</f>
        <v>561</v>
      </c>
      <c r="F163" s="56" t="s">
        <v>180</v>
      </c>
      <c r="G163" s="56" t="s">
        <v>375</v>
      </c>
    </row>
    <row r="164" spans="2:7" ht="36" x14ac:dyDescent="0.25">
      <c r="B164" s="57"/>
      <c r="C164" s="54" t="s">
        <v>189</v>
      </c>
      <c r="D164" s="104"/>
      <c r="E164" s="82">
        <f>0.8*D160</f>
        <v>748</v>
      </c>
      <c r="F164" s="56" t="s">
        <v>376</v>
      </c>
      <c r="G164" s="56" t="s">
        <v>377</v>
      </c>
    </row>
    <row r="165" spans="2:7" ht="20.25" customHeight="1" x14ac:dyDescent="0.25">
      <c r="B165" s="48" t="s">
        <v>378</v>
      </c>
      <c r="C165" s="54" t="s">
        <v>64</v>
      </c>
      <c r="D165" s="103">
        <v>3700</v>
      </c>
      <c r="E165" s="82">
        <f>0.08*D165</f>
        <v>296</v>
      </c>
      <c r="F165" s="56" t="s">
        <v>14</v>
      </c>
      <c r="G165" s="56" t="s">
        <v>41</v>
      </c>
    </row>
    <row r="166" spans="2:7" ht="21" x14ac:dyDescent="0.25">
      <c r="B166" s="52"/>
      <c r="C166" s="54" t="s">
        <v>161</v>
      </c>
      <c r="D166" s="105"/>
      <c r="E166" s="82">
        <f>0.08*D165</f>
        <v>296</v>
      </c>
      <c r="F166" s="56" t="s">
        <v>14</v>
      </c>
      <c r="G166" s="56" t="s">
        <v>43</v>
      </c>
    </row>
    <row r="167" spans="2:7" ht="36" x14ac:dyDescent="0.25">
      <c r="B167" s="52"/>
      <c r="C167" s="54" t="s">
        <v>160</v>
      </c>
      <c r="D167" s="105"/>
      <c r="E167" s="82">
        <f>0.1*D165</f>
        <v>370</v>
      </c>
      <c r="F167" s="56" t="s">
        <v>1</v>
      </c>
      <c r="G167" s="56" t="s">
        <v>93</v>
      </c>
    </row>
    <row r="168" spans="2:7" ht="36" x14ac:dyDescent="0.25">
      <c r="B168" s="52"/>
      <c r="C168" s="54" t="s">
        <v>64</v>
      </c>
      <c r="D168" s="105"/>
      <c r="E168" s="82">
        <f>0.08*D165</f>
        <v>296</v>
      </c>
      <c r="F168" s="56" t="s">
        <v>1</v>
      </c>
      <c r="G168" s="56" t="s">
        <v>379</v>
      </c>
    </row>
    <row r="169" spans="2:7" ht="21" x14ac:dyDescent="0.25">
      <c r="B169" s="52"/>
      <c r="C169" s="54" t="s">
        <v>64</v>
      </c>
      <c r="D169" s="105"/>
      <c r="E169" s="82">
        <f>0.08*D165</f>
        <v>296</v>
      </c>
      <c r="F169" s="56" t="s">
        <v>2</v>
      </c>
      <c r="G169" s="56" t="s">
        <v>43</v>
      </c>
    </row>
    <row r="170" spans="2:7" ht="21" x14ac:dyDescent="0.25">
      <c r="B170" s="52"/>
      <c r="C170" s="54" t="s">
        <v>159</v>
      </c>
      <c r="D170" s="105"/>
      <c r="E170" s="82">
        <f>0.06*D165</f>
        <v>222</v>
      </c>
      <c r="F170" s="56" t="s">
        <v>44</v>
      </c>
      <c r="G170" s="56" t="s">
        <v>94</v>
      </c>
    </row>
    <row r="171" spans="2:7" ht="36" x14ac:dyDescent="0.25">
      <c r="B171" s="52"/>
      <c r="C171" s="54" t="s">
        <v>198</v>
      </c>
      <c r="D171" s="105"/>
      <c r="E171" s="82">
        <f>0.12*D165</f>
        <v>444</v>
      </c>
      <c r="F171" s="56" t="s">
        <v>132</v>
      </c>
      <c r="G171" s="56" t="s">
        <v>380</v>
      </c>
    </row>
    <row r="172" spans="2:7" ht="21" x14ac:dyDescent="0.25">
      <c r="B172" s="52"/>
      <c r="C172" s="54" t="s">
        <v>42</v>
      </c>
      <c r="D172" s="105"/>
      <c r="E172" s="82">
        <f>0.08*D165</f>
        <v>296</v>
      </c>
      <c r="F172" s="56" t="s">
        <v>18</v>
      </c>
      <c r="G172" s="56" t="s">
        <v>45</v>
      </c>
    </row>
    <row r="173" spans="2:7" ht="21" x14ac:dyDescent="0.25">
      <c r="B173" s="52"/>
      <c r="C173" s="54" t="s">
        <v>156</v>
      </c>
      <c r="D173" s="105"/>
      <c r="E173" s="82">
        <f>0.1*D165</f>
        <v>370</v>
      </c>
      <c r="F173" s="56" t="s">
        <v>35</v>
      </c>
      <c r="G173" s="56" t="s">
        <v>46</v>
      </c>
    </row>
    <row r="174" spans="2:7" ht="21" x14ac:dyDescent="0.25">
      <c r="B174" s="52"/>
      <c r="C174" s="60" t="s">
        <v>156</v>
      </c>
      <c r="D174" s="105"/>
      <c r="E174" s="86">
        <f>0.1*D165</f>
        <v>370</v>
      </c>
      <c r="F174" s="71" t="s">
        <v>12</v>
      </c>
      <c r="G174" s="71" t="s">
        <v>47</v>
      </c>
    </row>
    <row r="175" spans="2:7" ht="21" x14ac:dyDescent="0.25">
      <c r="B175" s="52"/>
      <c r="C175" s="54" t="s">
        <v>156</v>
      </c>
      <c r="D175" s="105"/>
      <c r="E175" s="82">
        <f>0.1*D165</f>
        <v>370</v>
      </c>
      <c r="F175" s="56" t="s">
        <v>48</v>
      </c>
      <c r="G175" s="56" t="s">
        <v>49</v>
      </c>
    </row>
    <row r="176" spans="2:7" ht="36" x14ac:dyDescent="0.25">
      <c r="B176" s="52"/>
      <c r="C176" s="54" t="s">
        <v>156</v>
      </c>
      <c r="D176" s="105"/>
      <c r="E176" s="82">
        <f>0.1*D165</f>
        <v>370</v>
      </c>
      <c r="F176" s="56" t="s">
        <v>50</v>
      </c>
      <c r="G176" s="56" t="s">
        <v>95</v>
      </c>
    </row>
    <row r="177" spans="2:8" ht="21" x14ac:dyDescent="0.25">
      <c r="B177" s="52"/>
      <c r="C177" s="81">
        <v>0.3</v>
      </c>
      <c r="D177" s="105"/>
      <c r="E177" s="87">
        <f>0.3*D165</f>
        <v>1110</v>
      </c>
      <c r="F177" s="62" t="s">
        <v>40</v>
      </c>
      <c r="G177" s="62" t="s">
        <v>381</v>
      </c>
    </row>
    <row r="178" spans="2:8" ht="21" x14ac:dyDescent="0.25">
      <c r="B178" s="52"/>
      <c r="C178" s="54">
        <v>0.3</v>
      </c>
      <c r="D178" s="105"/>
      <c r="E178" s="82">
        <f>0.3*D165</f>
        <v>1110</v>
      </c>
      <c r="F178" s="56" t="s">
        <v>51</v>
      </c>
      <c r="G178" s="56" t="s">
        <v>52</v>
      </c>
    </row>
    <row r="179" spans="2:8" ht="54" x14ac:dyDescent="0.25">
      <c r="B179" s="57"/>
      <c r="C179" s="60" t="s">
        <v>156</v>
      </c>
      <c r="D179" s="104"/>
      <c r="E179" s="86">
        <f>0.1*D165</f>
        <v>370</v>
      </c>
      <c r="F179" s="71" t="s">
        <v>96</v>
      </c>
      <c r="G179" s="71" t="s">
        <v>97</v>
      </c>
      <c r="H179" s="88"/>
    </row>
    <row r="180" spans="2:8" ht="20.25" customHeight="1" x14ac:dyDescent="0.25">
      <c r="B180" s="48" t="s">
        <v>382</v>
      </c>
      <c r="C180" s="54" t="s">
        <v>156</v>
      </c>
      <c r="D180" s="103">
        <v>4050</v>
      </c>
      <c r="E180" s="82">
        <f>0.1*D180</f>
        <v>405</v>
      </c>
      <c r="F180" s="71" t="s">
        <v>148</v>
      </c>
      <c r="G180" s="56" t="s">
        <v>149</v>
      </c>
      <c r="H180" s="88"/>
    </row>
    <row r="181" spans="2:8" ht="21" x14ac:dyDescent="0.25">
      <c r="B181" s="52"/>
      <c r="C181" s="54" t="s">
        <v>157</v>
      </c>
      <c r="D181" s="105"/>
      <c r="E181" s="82">
        <f>0.1*D180</f>
        <v>405</v>
      </c>
      <c r="F181" s="62"/>
      <c r="G181" s="56" t="s">
        <v>199</v>
      </c>
      <c r="H181" s="88"/>
    </row>
    <row r="182" spans="2:8" ht="21" x14ac:dyDescent="0.25">
      <c r="B182" s="52"/>
      <c r="C182" s="54">
        <v>0.1</v>
      </c>
      <c r="D182" s="105"/>
      <c r="E182" s="82">
        <f>C182*D180</f>
        <v>405</v>
      </c>
      <c r="F182" s="71" t="s">
        <v>55</v>
      </c>
      <c r="G182" s="56" t="s">
        <v>177</v>
      </c>
      <c r="H182" s="88"/>
    </row>
    <row r="183" spans="2:8" ht="21" x14ac:dyDescent="0.25">
      <c r="B183" s="52"/>
      <c r="C183" s="54" t="s">
        <v>164</v>
      </c>
      <c r="D183" s="105"/>
      <c r="E183" s="82">
        <f>0.15*D180</f>
        <v>607.5</v>
      </c>
      <c r="F183" s="62"/>
      <c r="G183" s="56" t="s">
        <v>383</v>
      </c>
      <c r="H183" s="88"/>
    </row>
    <row r="184" spans="2:8" ht="36" x14ac:dyDescent="0.25">
      <c r="B184" s="52"/>
      <c r="C184" s="54" t="s">
        <v>156</v>
      </c>
      <c r="D184" s="105"/>
      <c r="E184" s="82">
        <f>0.1*D180</f>
        <v>405</v>
      </c>
      <c r="F184" s="62" t="s">
        <v>258</v>
      </c>
      <c r="G184" s="56" t="s">
        <v>384</v>
      </c>
      <c r="H184" s="88"/>
    </row>
    <row r="185" spans="2:8" ht="21" x14ac:dyDescent="0.25">
      <c r="B185" s="57"/>
      <c r="C185" s="54" t="s">
        <v>178</v>
      </c>
      <c r="D185" s="104"/>
      <c r="E185" s="82">
        <f>0.4*D180</f>
        <v>1620</v>
      </c>
      <c r="F185" s="62" t="s">
        <v>40</v>
      </c>
      <c r="G185" s="56" t="s">
        <v>179</v>
      </c>
    </row>
    <row r="186" spans="2:8" ht="22.5" x14ac:dyDescent="0.25">
      <c r="B186" s="48" t="s">
        <v>385</v>
      </c>
      <c r="C186" s="54">
        <v>7.4999999999999997E-2</v>
      </c>
      <c r="D186" s="149">
        <v>2780</v>
      </c>
      <c r="E186" s="55">
        <f>C186*D186</f>
        <v>208.5</v>
      </c>
      <c r="F186" s="56" t="s">
        <v>1</v>
      </c>
      <c r="G186" s="83" t="s">
        <v>386</v>
      </c>
    </row>
    <row r="187" spans="2:8" ht="21" x14ac:dyDescent="0.25">
      <c r="B187" s="52"/>
      <c r="C187" s="54" t="s">
        <v>158</v>
      </c>
      <c r="D187" s="105"/>
      <c r="E187" s="55">
        <f>0.075*D186</f>
        <v>208.5</v>
      </c>
      <c r="F187" s="56" t="s">
        <v>1</v>
      </c>
      <c r="G187" s="56" t="s">
        <v>387</v>
      </c>
    </row>
    <row r="188" spans="2:8" ht="21" x14ac:dyDescent="0.25">
      <c r="B188" s="52"/>
      <c r="C188" s="54">
        <v>0.1</v>
      </c>
      <c r="D188" s="105"/>
      <c r="E188" s="55">
        <f>0.1*D186</f>
        <v>278</v>
      </c>
      <c r="F188" s="56" t="s">
        <v>1</v>
      </c>
      <c r="G188" s="56" t="s">
        <v>53</v>
      </c>
    </row>
    <row r="189" spans="2:8" ht="36" x14ac:dyDescent="0.25">
      <c r="B189" s="52"/>
      <c r="C189" s="54">
        <v>0.25</v>
      </c>
      <c r="D189" s="105"/>
      <c r="E189" s="55">
        <f>0.25*D186</f>
        <v>695</v>
      </c>
      <c r="F189" s="56" t="s">
        <v>54</v>
      </c>
      <c r="G189" s="56" t="s">
        <v>388</v>
      </c>
    </row>
    <row r="190" spans="2:8" ht="36" x14ac:dyDescent="0.25">
      <c r="B190" s="52"/>
      <c r="C190" s="54" t="s">
        <v>153</v>
      </c>
      <c r="D190" s="105"/>
      <c r="E190" s="82">
        <f>0.2*D186</f>
        <v>556</v>
      </c>
      <c r="F190" s="56" t="s">
        <v>40</v>
      </c>
      <c r="G190" s="56" t="s">
        <v>134</v>
      </c>
    </row>
    <row r="191" spans="2:8" ht="36" x14ac:dyDescent="0.25">
      <c r="B191" s="52"/>
      <c r="C191" s="54">
        <v>0.2</v>
      </c>
      <c r="D191" s="105"/>
      <c r="E191" s="55">
        <f>0.2*D186</f>
        <v>556</v>
      </c>
      <c r="F191" s="56" t="s">
        <v>16</v>
      </c>
      <c r="G191" s="56" t="s">
        <v>389</v>
      </c>
    </row>
    <row r="192" spans="2:8" ht="21" x14ac:dyDescent="0.25">
      <c r="B192" s="52"/>
      <c r="C192" s="54" t="s">
        <v>154</v>
      </c>
      <c r="D192" s="105"/>
      <c r="E192" s="82">
        <f>0.05*D186</f>
        <v>139</v>
      </c>
      <c r="F192" s="56" t="s">
        <v>55</v>
      </c>
      <c r="G192" s="56" t="s">
        <v>94</v>
      </c>
    </row>
    <row r="193" spans="2:7" ht="36" x14ac:dyDescent="0.25">
      <c r="B193" s="52"/>
      <c r="C193" s="60" t="s">
        <v>154</v>
      </c>
      <c r="D193" s="105"/>
      <c r="E193" s="86">
        <f>0.05*D186</f>
        <v>139</v>
      </c>
      <c r="F193" s="71" t="s">
        <v>98</v>
      </c>
      <c r="G193" s="71" t="s">
        <v>390</v>
      </c>
    </row>
    <row r="194" spans="2:7" ht="21" x14ac:dyDescent="0.2">
      <c r="B194" s="57"/>
      <c r="C194" s="81"/>
      <c r="D194" s="104"/>
      <c r="E194" s="87"/>
      <c r="F194" s="62"/>
      <c r="G194" s="62"/>
    </row>
    <row r="195" spans="2:7" ht="20.25" customHeight="1" x14ac:dyDescent="0.25">
      <c r="B195" s="48" t="s">
        <v>391</v>
      </c>
      <c r="C195" s="54">
        <v>0.04</v>
      </c>
      <c r="D195" s="149">
        <v>3145</v>
      </c>
      <c r="E195" s="55">
        <f>C195*D195</f>
        <v>125.8</v>
      </c>
      <c r="F195" s="56" t="s">
        <v>1</v>
      </c>
      <c r="G195" s="56" t="s">
        <v>56</v>
      </c>
    </row>
    <row r="196" spans="2:7" ht="21" x14ac:dyDescent="0.25">
      <c r="B196" s="52"/>
      <c r="C196" s="54">
        <v>0.2</v>
      </c>
      <c r="D196" s="105"/>
      <c r="E196" s="82">
        <f>C196*D195</f>
        <v>629</v>
      </c>
      <c r="F196" s="56" t="s">
        <v>40</v>
      </c>
      <c r="G196" s="56" t="s">
        <v>99</v>
      </c>
    </row>
    <row r="197" spans="2:7" ht="21" x14ac:dyDescent="0.25">
      <c r="B197" s="52"/>
      <c r="C197" s="54">
        <v>0.1</v>
      </c>
      <c r="D197" s="105"/>
      <c r="E197" s="55">
        <f>C197*D195</f>
        <v>314.5</v>
      </c>
      <c r="F197" s="56" t="s">
        <v>392</v>
      </c>
      <c r="G197" s="56" t="s">
        <v>57</v>
      </c>
    </row>
    <row r="198" spans="2:7" ht="21" x14ac:dyDescent="0.25">
      <c r="B198" s="52"/>
      <c r="C198" s="54">
        <v>0.2</v>
      </c>
      <c r="D198" s="105"/>
      <c r="E198" s="55">
        <f>C198*D195</f>
        <v>629</v>
      </c>
      <c r="F198" s="56" t="s">
        <v>54</v>
      </c>
      <c r="G198" s="56" t="s">
        <v>58</v>
      </c>
    </row>
    <row r="199" spans="2:7" ht="36" x14ac:dyDescent="0.25">
      <c r="B199" s="57"/>
      <c r="C199" s="54">
        <v>0.04</v>
      </c>
      <c r="D199" s="104"/>
      <c r="E199" s="55">
        <f>C199*D195</f>
        <v>125.8</v>
      </c>
      <c r="F199" s="56" t="s">
        <v>100</v>
      </c>
      <c r="G199" s="56" t="s">
        <v>393</v>
      </c>
    </row>
    <row r="200" spans="2:7" ht="22.5" x14ac:dyDescent="0.25">
      <c r="B200" s="89" t="s">
        <v>394</v>
      </c>
      <c r="C200" s="78" t="s">
        <v>141</v>
      </c>
      <c r="D200" s="149">
        <v>1000</v>
      </c>
      <c r="E200" s="79">
        <f>1*D200</f>
        <v>1000</v>
      </c>
      <c r="F200" s="80" t="s">
        <v>1</v>
      </c>
      <c r="G200" s="80" t="s">
        <v>175</v>
      </c>
    </row>
    <row r="201" spans="2:7" ht="36" x14ac:dyDescent="0.25">
      <c r="B201" s="90"/>
      <c r="C201" s="78" t="s">
        <v>69</v>
      </c>
      <c r="D201" s="122"/>
      <c r="E201" s="79">
        <f>0.8*D200</f>
        <v>800</v>
      </c>
      <c r="F201" s="80" t="s">
        <v>55</v>
      </c>
      <c r="G201" s="80" t="s">
        <v>194</v>
      </c>
    </row>
    <row r="202" spans="2:7" ht="36" x14ac:dyDescent="0.25">
      <c r="B202" s="90"/>
      <c r="C202" s="78" t="s">
        <v>195</v>
      </c>
      <c r="D202" s="122"/>
      <c r="E202" s="79">
        <f>0.5*D200</f>
        <v>500</v>
      </c>
      <c r="F202" s="80" t="s">
        <v>258</v>
      </c>
      <c r="G202" s="80" t="s">
        <v>395</v>
      </c>
    </row>
    <row r="203" spans="2:7" ht="21" x14ac:dyDescent="0.25">
      <c r="B203" s="91"/>
      <c r="C203" s="78">
        <v>1.4</v>
      </c>
      <c r="D203" s="111"/>
      <c r="E203" s="79">
        <f>C203*D200</f>
        <v>1400</v>
      </c>
      <c r="F203" s="80" t="s">
        <v>40</v>
      </c>
      <c r="G203" s="80" t="s">
        <v>176</v>
      </c>
    </row>
    <row r="204" spans="2:7" ht="22.5" x14ac:dyDescent="0.25">
      <c r="B204" s="48" t="s">
        <v>396</v>
      </c>
      <c r="C204" s="54" t="s">
        <v>262</v>
      </c>
      <c r="D204" s="103">
        <v>1300</v>
      </c>
      <c r="E204" s="55">
        <f>0.5*D204</f>
        <v>650</v>
      </c>
      <c r="F204" s="56" t="s">
        <v>116</v>
      </c>
      <c r="G204" s="56" t="s">
        <v>397</v>
      </c>
    </row>
    <row r="205" spans="2:7" ht="21" x14ac:dyDescent="0.25">
      <c r="B205" s="52"/>
      <c r="C205" s="54" t="s">
        <v>262</v>
      </c>
      <c r="D205" s="105"/>
      <c r="E205" s="55">
        <f>0.5*D204</f>
        <v>650</v>
      </c>
      <c r="F205" s="56" t="s">
        <v>55</v>
      </c>
      <c r="G205" s="56" t="s">
        <v>398</v>
      </c>
    </row>
    <row r="206" spans="2:7" ht="21" x14ac:dyDescent="0.25">
      <c r="B206" s="52"/>
      <c r="C206" s="54" t="s">
        <v>109</v>
      </c>
      <c r="D206" s="105"/>
      <c r="E206" s="55">
        <f>0.2*D204</f>
        <v>260</v>
      </c>
      <c r="F206" s="56" t="s">
        <v>399</v>
      </c>
      <c r="G206" s="56" t="s">
        <v>53</v>
      </c>
    </row>
    <row r="207" spans="2:7" ht="21" x14ac:dyDescent="0.25">
      <c r="B207" s="52"/>
      <c r="C207" s="54">
        <v>0.2</v>
      </c>
      <c r="D207" s="105"/>
      <c r="E207" s="55">
        <f>C207*D204</f>
        <v>260</v>
      </c>
      <c r="F207" s="56" t="s">
        <v>50</v>
      </c>
      <c r="G207" s="56" t="s">
        <v>400</v>
      </c>
    </row>
    <row r="208" spans="2:7" ht="21" x14ac:dyDescent="0.25">
      <c r="B208" s="57"/>
      <c r="C208" s="54">
        <v>0.5</v>
      </c>
      <c r="D208" s="104"/>
      <c r="E208" s="55">
        <f>C208*D204</f>
        <v>650</v>
      </c>
      <c r="F208" s="56" t="s">
        <v>54</v>
      </c>
      <c r="G208" s="56" t="s">
        <v>401</v>
      </c>
    </row>
    <row r="209" spans="2:7" ht="20.25" customHeight="1" x14ac:dyDescent="0.25">
      <c r="B209" s="48" t="s">
        <v>402</v>
      </c>
      <c r="C209" s="71" t="s">
        <v>152</v>
      </c>
      <c r="D209" s="103">
        <v>3000</v>
      </c>
      <c r="E209" s="126">
        <f>0.05*D209</f>
        <v>150</v>
      </c>
      <c r="F209" s="71" t="s">
        <v>101</v>
      </c>
      <c r="G209" s="71" t="s">
        <v>403</v>
      </c>
    </row>
    <row r="210" spans="2:7" ht="21" x14ac:dyDescent="0.2">
      <c r="B210" s="52"/>
      <c r="C210" s="65"/>
      <c r="D210" s="105"/>
      <c r="E210" s="129"/>
      <c r="F210" s="65"/>
      <c r="G210" s="65"/>
    </row>
    <row r="211" spans="2:7" ht="21" x14ac:dyDescent="0.2">
      <c r="B211" s="52"/>
      <c r="C211" s="62"/>
      <c r="D211" s="105"/>
      <c r="E211" s="128"/>
      <c r="F211" s="62"/>
      <c r="G211" s="62"/>
    </row>
    <row r="212" spans="2:7" ht="21" x14ac:dyDescent="0.25">
      <c r="B212" s="57"/>
      <c r="C212" s="54" t="s">
        <v>152</v>
      </c>
      <c r="D212" s="104"/>
      <c r="E212" s="82">
        <f>0.05*D209</f>
        <v>150</v>
      </c>
      <c r="F212" s="56" t="s">
        <v>18</v>
      </c>
      <c r="G212" s="56" t="s">
        <v>45</v>
      </c>
    </row>
    <row r="213" spans="2:7" ht="20.25" customHeight="1" x14ac:dyDescent="0.25">
      <c r="B213" s="48" t="s">
        <v>404</v>
      </c>
      <c r="C213" s="71">
        <v>0.2</v>
      </c>
      <c r="D213" s="149">
        <v>1320</v>
      </c>
      <c r="E213" s="126">
        <f>C213*D213</f>
        <v>264</v>
      </c>
      <c r="F213" s="71" t="s">
        <v>166</v>
      </c>
      <c r="G213" s="71" t="s">
        <v>405</v>
      </c>
    </row>
    <row r="214" spans="2:7" ht="21" x14ac:dyDescent="0.2">
      <c r="B214" s="52"/>
      <c r="C214" s="65"/>
      <c r="D214" s="105"/>
      <c r="E214" s="129"/>
      <c r="F214" s="65"/>
      <c r="G214" s="65"/>
    </row>
    <row r="215" spans="2:7" ht="21" x14ac:dyDescent="0.2">
      <c r="B215" s="52"/>
      <c r="C215" s="62"/>
      <c r="D215" s="105"/>
      <c r="E215" s="128"/>
      <c r="F215" s="62"/>
      <c r="G215" s="62"/>
    </row>
    <row r="216" spans="2:7" ht="21" x14ac:dyDescent="0.25">
      <c r="B216" s="52"/>
      <c r="C216" s="54" t="s">
        <v>155</v>
      </c>
      <c r="D216" s="105"/>
      <c r="E216" s="82">
        <f>0.16*D213</f>
        <v>211.20000000000002</v>
      </c>
      <c r="F216" s="56" t="s">
        <v>40</v>
      </c>
      <c r="G216" s="56" t="s">
        <v>102</v>
      </c>
    </row>
    <row r="217" spans="2:7" ht="21" x14ac:dyDescent="0.25">
      <c r="B217" s="52"/>
      <c r="C217" s="54">
        <v>0.32</v>
      </c>
      <c r="D217" s="105"/>
      <c r="E217" s="82">
        <f>C217*D213</f>
        <v>422.40000000000003</v>
      </c>
      <c r="F217" s="56" t="s">
        <v>6</v>
      </c>
      <c r="G217" s="56" t="s">
        <v>59</v>
      </c>
    </row>
    <row r="218" spans="2:7" ht="21" x14ac:dyDescent="0.25">
      <c r="B218" s="52"/>
      <c r="C218" s="54">
        <v>0.15</v>
      </c>
      <c r="D218" s="105"/>
      <c r="E218" s="82">
        <f>C218*D213</f>
        <v>198</v>
      </c>
      <c r="F218" s="56" t="s">
        <v>6</v>
      </c>
      <c r="G218" s="56" t="s">
        <v>103</v>
      </c>
    </row>
    <row r="219" spans="2:7" ht="21" x14ac:dyDescent="0.25">
      <c r="B219" s="52"/>
      <c r="C219" s="54" t="s">
        <v>157</v>
      </c>
      <c r="D219" s="105"/>
      <c r="E219" s="82">
        <f>0.1*D213</f>
        <v>132</v>
      </c>
      <c r="F219" s="56" t="s">
        <v>60</v>
      </c>
      <c r="G219" s="56" t="s">
        <v>45</v>
      </c>
    </row>
    <row r="220" spans="2:7" ht="21" x14ac:dyDescent="0.25">
      <c r="B220" s="57"/>
      <c r="C220" s="54">
        <v>0.32</v>
      </c>
      <c r="D220" s="104"/>
      <c r="E220" s="82">
        <f>0.32*D213</f>
        <v>422.40000000000003</v>
      </c>
      <c r="F220" s="56" t="s">
        <v>54</v>
      </c>
      <c r="G220" s="56" t="s">
        <v>133</v>
      </c>
    </row>
    <row r="221" spans="2:7" ht="21" x14ac:dyDescent="0.2">
      <c r="B221" s="177" t="s">
        <v>61</v>
      </c>
      <c r="C221" s="178"/>
      <c r="D221" s="178"/>
      <c r="E221" s="178"/>
      <c r="F221" s="178"/>
      <c r="G221" s="179"/>
    </row>
    <row r="222" spans="2:7" ht="39.75" x14ac:dyDescent="0.25">
      <c r="B222" s="58" t="s">
        <v>406</v>
      </c>
      <c r="C222" s="54" t="s">
        <v>156</v>
      </c>
      <c r="D222" s="75">
        <v>7400</v>
      </c>
      <c r="E222" s="55">
        <f>0.1*D222</f>
        <v>740</v>
      </c>
      <c r="F222" s="56" t="s">
        <v>54</v>
      </c>
      <c r="G222" s="83" t="s">
        <v>104</v>
      </c>
    </row>
    <row r="223" spans="2:7" ht="21" x14ac:dyDescent="0.2">
      <c r="B223" s="177" t="s">
        <v>62</v>
      </c>
      <c r="C223" s="178"/>
      <c r="D223" s="178"/>
      <c r="E223" s="178"/>
      <c r="F223" s="178"/>
      <c r="G223" s="179"/>
    </row>
    <row r="224" spans="2:7" ht="72" x14ac:dyDescent="0.25">
      <c r="B224" s="58" t="s">
        <v>407</v>
      </c>
      <c r="C224" s="92" t="s">
        <v>408</v>
      </c>
      <c r="D224" s="75">
        <v>700</v>
      </c>
      <c r="E224" s="55">
        <f>0.1*D224</f>
        <v>70</v>
      </c>
      <c r="F224" s="71" t="s">
        <v>181</v>
      </c>
      <c r="G224" s="127" t="s">
        <v>105</v>
      </c>
    </row>
    <row r="225" spans="2:8" ht="72" x14ac:dyDescent="0.25">
      <c r="B225" s="58" t="s">
        <v>409</v>
      </c>
      <c r="C225" s="92" t="s">
        <v>408</v>
      </c>
      <c r="D225" s="150">
        <v>1230</v>
      </c>
      <c r="E225" s="55">
        <f>0.1*D225</f>
        <v>123</v>
      </c>
      <c r="F225" s="65"/>
      <c r="G225" s="130"/>
    </row>
    <row r="226" spans="2:8" ht="75.75" x14ac:dyDescent="0.25">
      <c r="B226" s="58" t="s">
        <v>410</v>
      </c>
      <c r="C226" s="92" t="s">
        <v>411</v>
      </c>
      <c r="D226" s="75">
        <v>1150</v>
      </c>
      <c r="E226" s="55">
        <f>0.25*D226</f>
        <v>287.5</v>
      </c>
      <c r="F226" s="65"/>
      <c r="G226" s="130"/>
    </row>
    <row r="227" spans="2:8" ht="72" x14ac:dyDescent="0.25">
      <c r="B227" s="58" t="s">
        <v>412</v>
      </c>
      <c r="C227" s="92" t="s">
        <v>413</v>
      </c>
      <c r="D227" s="75">
        <v>3600</v>
      </c>
      <c r="E227" s="55">
        <f>0.05*D227</f>
        <v>180</v>
      </c>
      <c r="F227" s="62"/>
      <c r="G227" s="131"/>
    </row>
    <row r="228" spans="2:8" ht="21" x14ac:dyDescent="0.2">
      <c r="B228" s="177" t="s">
        <v>414</v>
      </c>
      <c r="C228" s="178"/>
      <c r="D228" s="178"/>
      <c r="E228" s="178"/>
      <c r="F228" s="178"/>
      <c r="G228" s="179"/>
    </row>
    <row r="229" spans="2:8" ht="124.5" x14ac:dyDescent="0.25">
      <c r="B229" s="58" t="s">
        <v>415</v>
      </c>
      <c r="C229" s="54" t="s">
        <v>416</v>
      </c>
      <c r="D229" s="75">
        <v>230</v>
      </c>
      <c r="E229" s="55">
        <f>0.1*D229</f>
        <v>23</v>
      </c>
      <c r="F229" s="56" t="s">
        <v>417</v>
      </c>
      <c r="G229" s="56" t="s">
        <v>418</v>
      </c>
    </row>
    <row r="230" spans="2:8" ht="21" x14ac:dyDescent="0.2">
      <c r="B230" s="177" t="s">
        <v>204</v>
      </c>
      <c r="C230" s="178"/>
      <c r="D230" s="178"/>
      <c r="E230" s="178"/>
      <c r="F230" s="178"/>
      <c r="G230" s="179"/>
      <c r="H230" s="93"/>
    </row>
    <row r="231" spans="2:8" s="93" customFormat="1" ht="75.75" x14ac:dyDescent="0.25">
      <c r="B231" s="56" t="s">
        <v>419</v>
      </c>
      <c r="C231" s="49">
        <v>1</v>
      </c>
      <c r="D231" s="150">
        <v>550</v>
      </c>
      <c r="E231" s="82">
        <f>C231*D231</f>
        <v>550</v>
      </c>
      <c r="F231" s="56" t="s">
        <v>1</v>
      </c>
      <c r="G231" s="56" t="s">
        <v>420</v>
      </c>
      <c r="H231" s="24"/>
    </row>
    <row r="236" spans="2:8" ht="21.75" x14ac:dyDescent="0.2">
      <c r="B236" s="132"/>
      <c r="C236" s="132"/>
      <c r="D236" s="132"/>
      <c r="F236" s="132"/>
      <c r="G236" s="132"/>
    </row>
  </sheetData>
  <autoFilter ref="B14:G40" xr:uid="{00000000-0009-0000-0000-000000000000}"/>
  <mergeCells count="11">
    <mergeCell ref="B230:G230"/>
    <mergeCell ref="B2:C2"/>
    <mergeCell ref="B4:C4"/>
    <mergeCell ref="B3:C3"/>
    <mergeCell ref="B16:G16"/>
    <mergeCell ref="B42:G42"/>
    <mergeCell ref="B124:G124"/>
    <mergeCell ref="B159:G159"/>
    <mergeCell ref="B221:G221"/>
    <mergeCell ref="B223:G223"/>
    <mergeCell ref="B228:G228"/>
  </mergeCells>
  <pageMargins left="0.70866141732283472" right="0.70866141732283472" top="0.74803149606299213" bottom="0.74803149606299213" header="0.31496062992125984" footer="0.31496062992125984"/>
  <pageSetup paperSize="9" scale="41" fitToHeight="6" orientation="portrait" r:id="rId1"/>
  <rowBreaks count="4" manualBreakCount="4">
    <brk id="53" max="13" man="1"/>
    <brk id="93" max="13" man="1"/>
    <brk id="158" max="13" man="1"/>
    <brk id="22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20"/>
  <sheetViews>
    <sheetView topLeftCell="A7" zoomScale="57" zoomScaleNormal="57" workbookViewId="0">
      <selection activeCell="G11" sqref="G1:I1048576"/>
    </sheetView>
  </sheetViews>
  <sheetFormatPr defaultRowHeight="30" customHeight="1" x14ac:dyDescent="0.2"/>
  <cols>
    <col min="1" max="1" width="40.7578125" customWidth="1"/>
    <col min="2" max="2" width="14.390625" customWidth="1"/>
    <col min="3" max="3" width="20.58203125" customWidth="1"/>
    <col min="4" max="4" width="14.9296875" customWidth="1"/>
    <col min="5" max="5" width="29.19140625" customWidth="1"/>
    <col min="6" max="6" width="36.05078125" customWidth="1"/>
    <col min="7" max="7" width="12.375" hidden="1" customWidth="1"/>
    <col min="8" max="8" width="19.7734375" hidden="1" customWidth="1"/>
    <col min="9" max="9" width="0" hidden="1" customWidth="1"/>
  </cols>
  <sheetData>
    <row r="2" spans="1:8" ht="18.75" x14ac:dyDescent="0.25">
      <c r="A2" s="141" t="s">
        <v>423</v>
      </c>
    </row>
    <row r="5" spans="1:8" ht="18.75" x14ac:dyDescent="0.25">
      <c r="A5" s="141" t="s">
        <v>424</v>
      </c>
    </row>
    <row r="7" spans="1:8" ht="15" x14ac:dyDescent="0.2">
      <c r="A7" s="2"/>
      <c r="B7" s="1"/>
      <c r="C7" s="1"/>
      <c r="D7" s="3"/>
      <c r="E7" s="207" t="s">
        <v>425</v>
      </c>
      <c r="F7" s="208"/>
      <c r="G7" s="209" t="s">
        <v>426</v>
      </c>
      <c r="H7" s="209"/>
    </row>
    <row r="8" spans="1:8" ht="15" x14ac:dyDescent="0.2">
      <c r="A8" s="210" t="s">
        <v>80</v>
      </c>
      <c r="B8" s="210" t="s">
        <v>117</v>
      </c>
      <c r="C8" s="210" t="s">
        <v>217</v>
      </c>
      <c r="D8" s="213" t="s">
        <v>218</v>
      </c>
      <c r="E8" s="210" t="s">
        <v>118</v>
      </c>
      <c r="F8" s="210" t="s">
        <v>81</v>
      </c>
      <c r="G8" s="210" t="s">
        <v>217</v>
      </c>
      <c r="H8" s="213" t="s">
        <v>218</v>
      </c>
    </row>
    <row r="9" spans="1:8" ht="15" x14ac:dyDescent="0.2">
      <c r="A9" s="211"/>
      <c r="B9" s="211"/>
      <c r="C9" s="211"/>
      <c r="D9" s="214"/>
      <c r="E9" s="211"/>
      <c r="F9" s="211"/>
      <c r="G9" s="211"/>
      <c r="H9" s="214"/>
    </row>
    <row r="10" spans="1:8" ht="62.25" customHeight="1" x14ac:dyDescent="0.2">
      <c r="A10" s="212"/>
      <c r="B10" s="212"/>
      <c r="C10" s="212"/>
      <c r="D10" s="215"/>
      <c r="E10" s="212"/>
      <c r="F10" s="212"/>
      <c r="G10" s="212"/>
      <c r="H10" s="215"/>
    </row>
    <row r="11" spans="1:8" ht="18" x14ac:dyDescent="0.2">
      <c r="A11" s="97">
        <v>1</v>
      </c>
      <c r="B11" s="13">
        <v>2</v>
      </c>
      <c r="C11" s="97">
        <v>3</v>
      </c>
      <c r="D11" s="97">
        <v>4</v>
      </c>
      <c r="E11" s="97">
        <v>5</v>
      </c>
      <c r="F11" s="97">
        <v>6</v>
      </c>
      <c r="G11" s="134"/>
      <c r="H11" s="134"/>
    </row>
    <row r="12" spans="1:8" ht="18" x14ac:dyDescent="0.2">
      <c r="A12" s="194" t="s">
        <v>140</v>
      </c>
      <c r="B12" s="195"/>
      <c r="C12" s="195"/>
      <c r="D12" s="195"/>
      <c r="E12" s="195"/>
      <c r="F12" s="196"/>
      <c r="G12" s="134"/>
      <c r="H12" s="134"/>
    </row>
    <row r="13" spans="1:8" ht="15" x14ac:dyDescent="0.2">
      <c r="A13" s="197" t="s">
        <v>185</v>
      </c>
      <c r="B13" s="199" t="s">
        <v>125</v>
      </c>
      <c r="C13" s="201">
        <v>15000</v>
      </c>
      <c r="D13" s="203">
        <f>C13/30</f>
        <v>500</v>
      </c>
      <c r="E13" s="205" t="s">
        <v>106</v>
      </c>
      <c r="F13" s="205" t="s">
        <v>83</v>
      </c>
      <c r="G13" s="134"/>
      <c r="H13" s="134"/>
    </row>
    <row r="14" spans="1:8" ht="50.25" customHeight="1" x14ac:dyDescent="0.2">
      <c r="A14" s="198"/>
      <c r="B14" s="200"/>
      <c r="C14" s="202"/>
      <c r="D14" s="204"/>
      <c r="E14" s="206"/>
      <c r="F14" s="206"/>
      <c r="G14" s="134">
        <f>4350+12000</f>
        <v>16350</v>
      </c>
      <c r="H14" s="134">
        <f>G14/30</f>
        <v>545</v>
      </c>
    </row>
    <row r="15" spans="1:8" ht="31.5" x14ac:dyDescent="0.2">
      <c r="A15" s="12" t="s">
        <v>170</v>
      </c>
      <c r="B15" s="4" t="s">
        <v>138</v>
      </c>
      <c r="C15" s="135">
        <v>8500</v>
      </c>
      <c r="D15" s="5">
        <f>C15/25</f>
        <v>340</v>
      </c>
      <c r="E15" s="6" t="s">
        <v>106</v>
      </c>
      <c r="F15" s="6" t="s">
        <v>83</v>
      </c>
      <c r="G15" s="134">
        <f>7300+2380</f>
        <v>9680</v>
      </c>
      <c r="H15" s="134">
        <f>G15/25</f>
        <v>387.2</v>
      </c>
    </row>
    <row r="16" spans="1:8" ht="50.25" x14ac:dyDescent="0.2">
      <c r="A16" s="11" t="s">
        <v>186</v>
      </c>
      <c r="B16" s="13" t="s">
        <v>138</v>
      </c>
      <c r="C16" s="136">
        <v>10000</v>
      </c>
      <c r="D16" s="5">
        <f t="shared" ref="D16:D18" si="0">C16/25</f>
        <v>400</v>
      </c>
      <c r="E16" s="10" t="s">
        <v>106</v>
      </c>
      <c r="F16" s="10" t="s">
        <v>83</v>
      </c>
      <c r="G16" s="134">
        <f>7300+4350</f>
        <v>11650</v>
      </c>
      <c r="H16" s="134">
        <f>G16/25</f>
        <v>466</v>
      </c>
    </row>
    <row r="17" spans="1:9" ht="56.25" customHeight="1" x14ac:dyDescent="0.2">
      <c r="A17" s="12" t="s">
        <v>187</v>
      </c>
      <c r="B17" s="4" t="s">
        <v>138</v>
      </c>
      <c r="C17" s="135">
        <v>15500</v>
      </c>
      <c r="D17" s="5">
        <f t="shared" si="0"/>
        <v>620</v>
      </c>
      <c r="E17" s="6" t="s">
        <v>106</v>
      </c>
      <c r="F17" s="6" t="s">
        <v>83</v>
      </c>
      <c r="G17" s="134">
        <f>12000+4590</f>
        <v>16590</v>
      </c>
      <c r="H17" s="134">
        <f>G17/25</f>
        <v>663.6</v>
      </c>
    </row>
    <row r="18" spans="1:9" ht="31.5" x14ac:dyDescent="0.2">
      <c r="A18" s="192" t="s">
        <v>188</v>
      </c>
      <c r="B18" s="8" t="s">
        <v>138</v>
      </c>
      <c r="C18" s="137">
        <v>68000</v>
      </c>
      <c r="D18" s="5">
        <f t="shared" si="0"/>
        <v>2720</v>
      </c>
      <c r="E18" s="6" t="s">
        <v>129</v>
      </c>
      <c r="F18" s="7" t="s">
        <v>89</v>
      </c>
      <c r="G18" s="134"/>
      <c r="H18" s="134"/>
    </row>
    <row r="19" spans="1:9" ht="31.5" x14ac:dyDescent="0.2">
      <c r="A19" s="193"/>
      <c r="B19" s="8" t="s">
        <v>139</v>
      </c>
      <c r="C19" s="138">
        <v>68000</v>
      </c>
      <c r="D19" s="5">
        <f>C19/33</f>
        <v>2060.6060606060605</v>
      </c>
      <c r="E19" s="9" t="s">
        <v>128</v>
      </c>
      <c r="F19" s="7" t="s">
        <v>89</v>
      </c>
      <c r="G19" s="134">
        <f>70000+7000</f>
        <v>77000</v>
      </c>
      <c r="H19" s="139">
        <f>G19/33</f>
        <v>2333.3333333333335</v>
      </c>
    </row>
    <row r="20" spans="1:9" ht="72" x14ac:dyDescent="0.25">
      <c r="A20" s="58" t="s">
        <v>304</v>
      </c>
      <c r="B20" s="54" t="s">
        <v>65</v>
      </c>
      <c r="C20" s="75">
        <v>44340</v>
      </c>
      <c r="D20" s="64">
        <v>2956</v>
      </c>
      <c r="E20" s="73" t="s">
        <v>126</v>
      </c>
      <c r="F20" s="56" t="s">
        <v>184</v>
      </c>
      <c r="G20" s="140">
        <f>35000+4950+3500</f>
        <v>43450</v>
      </c>
      <c r="H20" s="140">
        <f>G20/15</f>
        <v>2896.6666666666665</v>
      </c>
      <c r="I20" s="66"/>
    </row>
  </sheetData>
  <mergeCells count="18">
    <mergeCell ref="E7:F7"/>
    <mergeCell ref="G7:H7"/>
    <mergeCell ref="A8:A10"/>
    <mergeCell ref="B8:B10"/>
    <mergeCell ref="C8:C10"/>
    <mergeCell ref="D8:D10"/>
    <mergeCell ref="E8:E10"/>
    <mergeCell ref="F8:F10"/>
    <mergeCell ref="G8:G10"/>
    <mergeCell ref="H8:H10"/>
    <mergeCell ref="A18:A19"/>
    <mergeCell ref="A12:F12"/>
    <mergeCell ref="A13:A14"/>
    <mergeCell ref="B13:B14"/>
    <mergeCell ref="C13:C14"/>
    <mergeCell ref="D13:D14"/>
    <mergeCell ref="E13:E14"/>
    <mergeCell ref="F13:F1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36"/>
  <sheetViews>
    <sheetView topLeftCell="A115" zoomScale="59" zoomScaleNormal="59" zoomScalePageLayoutView="60" workbookViewId="0">
      <selection activeCell="B124" sqref="B124:H124"/>
    </sheetView>
  </sheetViews>
  <sheetFormatPr defaultColWidth="9.14453125" defaultRowHeight="14.25" x14ac:dyDescent="0.2"/>
  <cols>
    <col min="1" max="1" width="0.1328125" style="24" customWidth="1"/>
    <col min="2" max="2" width="58.515625" style="24" customWidth="1"/>
    <col min="3" max="3" width="19.37109375" style="95" customWidth="1"/>
    <col min="4" max="4" width="23.5390625" style="96" customWidth="1"/>
    <col min="5" max="5" width="15.6015625" style="96" hidden="1" customWidth="1"/>
    <col min="6" max="6" width="23.13671875" style="94" customWidth="1"/>
    <col min="7" max="7" width="31.07421875" style="24" customWidth="1"/>
    <col min="8" max="8" width="53.40234375" style="24" customWidth="1"/>
    <col min="9" max="9" width="9.14453125" style="24" customWidth="1"/>
    <col min="10" max="10" width="11.43359375" style="24" customWidth="1"/>
    <col min="11" max="11" width="9.14453125" style="24" customWidth="1"/>
    <col min="12" max="12" width="7.12890625" style="24" customWidth="1"/>
    <col min="13" max="16384" width="9.14453125" style="24"/>
  </cols>
  <sheetData>
    <row r="1" spans="2:8" x14ac:dyDescent="0.2">
      <c r="B1" s="18"/>
      <c r="C1" s="19"/>
      <c r="D1" s="20"/>
      <c r="E1" s="20"/>
      <c r="F1" s="21"/>
      <c r="G1" s="22"/>
      <c r="H1" s="23"/>
    </row>
    <row r="2" spans="2:8" ht="23.25" customHeight="1" x14ac:dyDescent="0.2">
      <c r="B2" s="180" t="s">
        <v>208</v>
      </c>
      <c r="C2" s="181"/>
      <c r="D2" s="25"/>
      <c r="E2" s="25"/>
      <c r="F2" s="26"/>
      <c r="G2" s="27"/>
      <c r="H2" s="28"/>
    </row>
    <row r="3" spans="2:8" ht="22.5" customHeight="1" x14ac:dyDescent="0.2">
      <c r="B3" s="184" t="s">
        <v>211</v>
      </c>
      <c r="C3" s="185"/>
      <c r="D3" s="98"/>
      <c r="E3" s="98"/>
      <c r="F3" s="26"/>
      <c r="G3" s="27"/>
      <c r="H3" s="28"/>
    </row>
    <row r="4" spans="2:8" ht="21.75" x14ac:dyDescent="0.2">
      <c r="B4" s="182"/>
      <c r="C4" s="183"/>
      <c r="D4" s="29"/>
      <c r="E4" s="29"/>
      <c r="F4" s="26"/>
      <c r="G4" s="27"/>
      <c r="H4" s="28"/>
    </row>
    <row r="5" spans="2:8" ht="21.75" x14ac:dyDescent="0.2">
      <c r="B5" s="146"/>
      <c r="C5" s="147"/>
      <c r="D5" s="30"/>
      <c r="E5" s="30"/>
      <c r="F5" s="26"/>
      <c r="G5" s="27"/>
      <c r="H5" s="28"/>
    </row>
    <row r="6" spans="2:8" ht="21.75" x14ac:dyDescent="0.25">
      <c r="B6" s="14" t="s">
        <v>209</v>
      </c>
      <c r="C6" s="15"/>
      <c r="D6" s="31"/>
      <c r="E6" s="31"/>
      <c r="F6" s="26"/>
      <c r="G6" s="27"/>
      <c r="H6" s="28"/>
    </row>
    <row r="7" spans="2:8" ht="21.75" x14ac:dyDescent="0.25">
      <c r="B7" s="14" t="s">
        <v>214</v>
      </c>
      <c r="C7" s="15"/>
      <c r="D7" s="32"/>
      <c r="E7" s="32"/>
      <c r="F7" s="26"/>
      <c r="G7" s="27"/>
      <c r="H7" s="28"/>
    </row>
    <row r="8" spans="2:8" ht="21.75" x14ac:dyDescent="0.25">
      <c r="B8" s="14" t="s">
        <v>210</v>
      </c>
      <c r="C8" s="15"/>
      <c r="D8" s="100"/>
      <c r="E8" s="100"/>
      <c r="F8" s="26"/>
      <c r="G8" s="27"/>
      <c r="H8" s="28"/>
    </row>
    <row r="9" spans="2:8" ht="18" x14ac:dyDescent="0.2">
      <c r="B9" s="99"/>
      <c r="C9" s="100"/>
      <c r="D9" s="100"/>
      <c r="E9" s="100"/>
      <c r="F9" s="26"/>
      <c r="G9" s="27"/>
      <c r="H9" s="28"/>
    </row>
    <row r="10" spans="2:8" ht="18" x14ac:dyDescent="0.2">
      <c r="B10" s="99"/>
      <c r="C10" s="100"/>
      <c r="D10" s="33"/>
      <c r="E10" s="33"/>
      <c r="F10" s="26"/>
      <c r="G10" s="27"/>
      <c r="H10" s="34"/>
    </row>
    <row r="11" spans="2:8" ht="18" x14ac:dyDescent="0.2">
      <c r="B11" s="102"/>
      <c r="C11" s="102"/>
      <c r="D11" s="35"/>
      <c r="E11" s="35"/>
      <c r="F11" s="26"/>
      <c r="G11" s="27"/>
      <c r="H11" s="28"/>
    </row>
    <row r="12" spans="2:8" ht="18" x14ac:dyDescent="0.2">
      <c r="B12" s="101"/>
      <c r="C12" s="102"/>
      <c r="D12" s="35"/>
      <c r="E12" s="35"/>
      <c r="F12" s="26"/>
      <c r="G12" s="27"/>
      <c r="H12" s="34"/>
    </row>
    <row r="13" spans="2:8" ht="16.5" x14ac:dyDescent="0.2">
      <c r="B13" s="36"/>
      <c r="C13" s="37"/>
      <c r="D13" s="38"/>
      <c r="E13" s="38"/>
      <c r="F13" s="26"/>
      <c r="G13" s="27"/>
      <c r="H13" s="39" t="s">
        <v>215</v>
      </c>
    </row>
    <row r="14" spans="2:8" ht="118.5" customHeight="1" x14ac:dyDescent="0.2">
      <c r="B14" s="40" t="s">
        <v>80</v>
      </c>
      <c r="C14" s="41" t="s">
        <v>216</v>
      </c>
      <c r="D14" s="43" t="s">
        <v>421</v>
      </c>
      <c r="E14" s="43" t="s">
        <v>427</v>
      </c>
      <c r="F14" s="44" t="s">
        <v>422</v>
      </c>
      <c r="G14" s="41" t="s">
        <v>118</v>
      </c>
      <c r="H14" s="41" t="s">
        <v>81</v>
      </c>
    </row>
    <row r="15" spans="2:8" ht="18" x14ac:dyDescent="0.2">
      <c r="B15" s="45">
        <v>1</v>
      </c>
      <c r="C15" s="45">
        <v>2</v>
      </c>
      <c r="D15" s="45">
        <v>3</v>
      </c>
      <c r="E15" s="45"/>
      <c r="F15" s="42">
        <v>4</v>
      </c>
      <c r="G15" s="45">
        <v>5</v>
      </c>
      <c r="H15" s="45">
        <v>6</v>
      </c>
    </row>
    <row r="16" spans="2:8" ht="18.75" customHeight="1" x14ac:dyDescent="0.2">
      <c r="B16" s="186" t="s">
        <v>205</v>
      </c>
      <c r="C16" s="187"/>
      <c r="D16" s="187"/>
      <c r="E16" s="187"/>
      <c r="F16" s="187"/>
      <c r="G16" s="187"/>
      <c r="H16" s="188"/>
    </row>
    <row r="17" spans="2:8" ht="36" x14ac:dyDescent="0.25">
      <c r="B17" s="48" t="s">
        <v>219</v>
      </c>
      <c r="C17" s="54">
        <v>0.4</v>
      </c>
      <c r="D17" s="151">
        <v>7500</v>
      </c>
      <c r="E17" s="103">
        <v>6</v>
      </c>
      <c r="F17" s="55">
        <f>C17*D17*0.12</f>
        <v>360</v>
      </c>
      <c r="G17" s="56" t="s">
        <v>85</v>
      </c>
      <c r="H17" s="56" t="s">
        <v>220</v>
      </c>
    </row>
    <row r="18" spans="2:8" ht="36" x14ac:dyDescent="0.25">
      <c r="B18" s="57"/>
      <c r="C18" s="54" t="s">
        <v>108</v>
      </c>
      <c r="D18" s="152"/>
      <c r="E18" s="103"/>
      <c r="F18" s="55">
        <f>0.4*D17*0.05</f>
        <v>150</v>
      </c>
      <c r="G18" s="56" t="s">
        <v>67</v>
      </c>
      <c r="H18" s="56" t="s">
        <v>221</v>
      </c>
    </row>
    <row r="19" spans="2:8" ht="40.5" customHeight="1" x14ac:dyDescent="0.25">
      <c r="B19" s="48" t="s">
        <v>222</v>
      </c>
      <c r="C19" s="54" t="s">
        <v>3</v>
      </c>
      <c r="D19" s="153">
        <v>14130</v>
      </c>
      <c r="E19" s="103">
        <v>6</v>
      </c>
      <c r="F19" s="55">
        <f>0.3*D19*0.12</f>
        <v>508.68</v>
      </c>
      <c r="G19" s="56" t="s">
        <v>1</v>
      </c>
      <c r="H19" s="56" t="s">
        <v>223</v>
      </c>
    </row>
    <row r="20" spans="2:8" ht="36" x14ac:dyDescent="0.25">
      <c r="B20" s="57"/>
      <c r="C20" s="54" t="s">
        <v>3</v>
      </c>
      <c r="D20" s="152"/>
      <c r="E20" s="103"/>
      <c r="F20" s="55">
        <f>0.3*D19*0.12</f>
        <v>508.68</v>
      </c>
      <c r="G20" s="56" t="s">
        <v>2</v>
      </c>
      <c r="H20" s="56" t="s">
        <v>136</v>
      </c>
    </row>
    <row r="21" spans="2:8" ht="57.75" x14ac:dyDescent="0.25">
      <c r="B21" s="50" t="s">
        <v>224</v>
      </c>
      <c r="C21" s="60" t="s">
        <v>225</v>
      </c>
      <c r="D21" s="154">
        <v>16050</v>
      </c>
      <c r="E21" s="103">
        <v>6</v>
      </c>
      <c r="F21" s="55">
        <f>0.8*D21*0.12</f>
        <v>1540.8</v>
      </c>
      <c r="G21" s="56" t="s">
        <v>85</v>
      </c>
      <c r="H21" s="56" t="s">
        <v>226</v>
      </c>
    </row>
    <row r="22" spans="2:8" ht="39.75" x14ac:dyDescent="0.25">
      <c r="B22" s="77" t="s">
        <v>227</v>
      </c>
      <c r="C22" s="47" t="s">
        <v>228</v>
      </c>
      <c r="D22" s="155">
        <v>8070</v>
      </c>
      <c r="E22" s="103">
        <v>6</v>
      </c>
      <c r="F22" s="79">
        <f>2*D22*0.12</f>
        <v>1936.8</v>
      </c>
      <c r="G22" s="80" t="s">
        <v>229</v>
      </c>
      <c r="H22" s="80" t="s">
        <v>230</v>
      </c>
    </row>
    <row r="23" spans="2:8" ht="75.75" x14ac:dyDescent="0.25">
      <c r="B23" s="48" t="s">
        <v>231</v>
      </c>
      <c r="C23" s="49" t="s">
        <v>178</v>
      </c>
      <c r="D23" s="156">
        <v>17400</v>
      </c>
      <c r="E23" s="103">
        <v>6</v>
      </c>
      <c r="F23" s="55">
        <f>0.4*D23*0.12</f>
        <v>835.19999999999993</v>
      </c>
      <c r="G23" s="56" t="s">
        <v>1</v>
      </c>
      <c r="H23" s="56" t="s">
        <v>232</v>
      </c>
    </row>
    <row r="24" spans="2:8" ht="39.75" x14ac:dyDescent="0.25">
      <c r="B24" s="48" t="s">
        <v>233</v>
      </c>
      <c r="C24" s="49" t="s">
        <v>178</v>
      </c>
      <c r="D24" s="153">
        <v>25380</v>
      </c>
      <c r="E24" s="103">
        <v>6</v>
      </c>
      <c r="F24" s="55">
        <f>0.4*D24*0.22</f>
        <v>2233.44</v>
      </c>
      <c r="G24" s="56" t="s">
        <v>234</v>
      </c>
      <c r="H24" s="59" t="s">
        <v>235</v>
      </c>
    </row>
    <row r="25" spans="2:8" ht="21" x14ac:dyDescent="0.25">
      <c r="B25" s="57"/>
      <c r="C25" s="49" t="s">
        <v>109</v>
      </c>
      <c r="D25" s="152"/>
      <c r="E25" s="103"/>
      <c r="F25" s="55">
        <f>0.2*D24*3</f>
        <v>15228</v>
      </c>
      <c r="G25" s="56" t="s">
        <v>18</v>
      </c>
      <c r="H25" s="56" t="s">
        <v>236</v>
      </c>
    </row>
    <row r="26" spans="2:8" ht="36" x14ac:dyDescent="0.25">
      <c r="B26" s="48" t="s">
        <v>237</v>
      </c>
      <c r="C26" s="54" t="s">
        <v>108</v>
      </c>
      <c r="D26" s="151">
        <v>35400</v>
      </c>
      <c r="E26" s="103">
        <v>6</v>
      </c>
      <c r="F26" s="55">
        <f>0.4*D26*0.12</f>
        <v>1699.2</v>
      </c>
      <c r="G26" s="56" t="s">
        <v>82</v>
      </c>
      <c r="H26" s="56" t="s">
        <v>238</v>
      </c>
    </row>
    <row r="27" spans="2:8" ht="21" x14ac:dyDescent="0.25">
      <c r="B27" s="52"/>
      <c r="C27" s="54" t="s">
        <v>109</v>
      </c>
      <c r="D27" s="157"/>
      <c r="E27" s="103"/>
      <c r="F27" s="55">
        <f>0.2*D26*3</f>
        <v>21240</v>
      </c>
      <c r="G27" s="56" t="s">
        <v>18</v>
      </c>
      <c r="H27" s="56" t="s">
        <v>111</v>
      </c>
    </row>
    <row r="28" spans="2:8" ht="21" x14ac:dyDescent="0.25">
      <c r="B28" s="52"/>
      <c r="C28" s="54" t="s">
        <v>110</v>
      </c>
      <c r="D28" s="157"/>
      <c r="E28" s="103"/>
      <c r="F28" s="55">
        <f>6*D26*0.007</f>
        <v>1486.8</v>
      </c>
      <c r="G28" s="56" t="s">
        <v>116</v>
      </c>
      <c r="H28" s="56" t="s">
        <v>112</v>
      </c>
    </row>
    <row r="29" spans="2:8" ht="21" x14ac:dyDescent="0.25">
      <c r="B29" s="57"/>
      <c r="C29" s="54" t="s">
        <v>69</v>
      </c>
      <c r="D29" s="152"/>
      <c r="E29" s="103"/>
      <c r="F29" s="55">
        <f>0.8*D26*0.05</f>
        <v>1416</v>
      </c>
      <c r="G29" s="56" t="s">
        <v>67</v>
      </c>
      <c r="H29" s="56" t="s">
        <v>177</v>
      </c>
    </row>
    <row r="30" spans="2:8" ht="20.25" customHeight="1" x14ac:dyDescent="0.25">
      <c r="B30" s="48" t="s">
        <v>239</v>
      </c>
      <c r="C30" s="51" t="s">
        <v>206</v>
      </c>
      <c r="D30" s="151">
        <v>36600</v>
      </c>
      <c r="E30" s="103">
        <v>6</v>
      </c>
      <c r="F30" s="55">
        <f>5*D30*0.02</f>
        <v>3660</v>
      </c>
      <c r="G30" s="56" t="s">
        <v>6</v>
      </c>
      <c r="H30" s="56" t="s">
        <v>240</v>
      </c>
    </row>
    <row r="31" spans="2:8" ht="21" x14ac:dyDescent="0.25">
      <c r="B31" s="57"/>
      <c r="C31" s="51" t="s">
        <v>71</v>
      </c>
      <c r="D31" s="152"/>
      <c r="E31" s="103"/>
      <c r="F31" s="55">
        <f>6*D30*0.004</f>
        <v>878.4</v>
      </c>
      <c r="G31" s="56" t="s">
        <v>55</v>
      </c>
      <c r="H31" s="56" t="s">
        <v>177</v>
      </c>
    </row>
    <row r="32" spans="2:8" ht="40.5" customHeight="1" x14ac:dyDescent="0.25">
      <c r="B32" s="48" t="s">
        <v>241</v>
      </c>
      <c r="C32" s="51" t="s">
        <v>141</v>
      </c>
      <c r="D32" s="151">
        <v>50100</v>
      </c>
      <c r="E32" s="103">
        <v>6</v>
      </c>
      <c r="F32" s="55">
        <f>1*D32*0.12</f>
        <v>6012</v>
      </c>
      <c r="G32" s="56" t="s">
        <v>1</v>
      </c>
      <c r="H32" s="56" t="s">
        <v>242</v>
      </c>
    </row>
    <row r="33" spans="2:8" ht="21" x14ac:dyDescent="0.25">
      <c r="B33" s="52"/>
      <c r="C33" s="51" t="s">
        <v>243</v>
      </c>
      <c r="D33" s="157"/>
      <c r="E33" s="103"/>
      <c r="F33" s="55">
        <f>8*D32*0.007</f>
        <v>2805.6</v>
      </c>
      <c r="G33" s="56" t="s">
        <v>116</v>
      </c>
      <c r="H33" s="56" t="s">
        <v>244</v>
      </c>
    </row>
    <row r="34" spans="2:8" ht="36" x14ac:dyDescent="0.25">
      <c r="B34" s="52"/>
      <c r="C34" s="51" t="s">
        <v>71</v>
      </c>
      <c r="D34" s="157"/>
      <c r="E34" s="103"/>
      <c r="F34" s="55">
        <f>6*D32*0.02</f>
        <v>6012</v>
      </c>
      <c r="G34" s="56" t="s">
        <v>6</v>
      </c>
      <c r="H34" s="56" t="s">
        <v>245</v>
      </c>
    </row>
    <row r="35" spans="2:8" ht="21" x14ac:dyDescent="0.25">
      <c r="B35" s="57"/>
      <c r="C35" s="51" t="s">
        <v>246</v>
      </c>
      <c r="D35" s="152"/>
      <c r="E35" s="103"/>
      <c r="F35" s="55">
        <f>0.3*D32*3</f>
        <v>45090</v>
      </c>
      <c r="G35" s="56" t="s">
        <v>18</v>
      </c>
      <c r="H35" s="56" t="s">
        <v>111</v>
      </c>
    </row>
    <row r="36" spans="2:8" ht="36" x14ac:dyDescent="0.25">
      <c r="B36" s="48" t="s">
        <v>247</v>
      </c>
      <c r="C36" s="54" t="s">
        <v>70</v>
      </c>
      <c r="D36" s="153">
        <v>4500</v>
      </c>
      <c r="E36" s="103">
        <v>6</v>
      </c>
      <c r="F36" s="55">
        <f>3*D36*0.12</f>
        <v>1620</v>
      </c>
      <c r="G36" s="56" t="s">
        <v>120</v>
      </c>
      <c r="H36" s="56" t="s">
        <v>248</v>
      </c>
    </row>
    <row r="37" spans="2:8" ht="54" x14ac:dyDescent="0.25">
      <c r="B37" s="52"/>
      <c r="C37" s="54" t="s">
        <v>70</v>
      </c>
      <c r="D37" s="157"/>
      <c r="E37" s="103"/>
      <c r="F37" s="55">
        <f>3*D36*0.02</f>
        <v>270</v>
      </c>
      <c r="G37" s="56" t="s">
        <v>6</v>
      </c>
      <c r="H37" s="56" t="s">
        <v>121</v>
      </c>
    </row>
    <row r="38" spans="2:8" ht="21" x14ac:dyDescent="0.25">
      <c r="B38" s="52"/>
      <c r="C38" s="54" t="s">
        <v>72</v>
      </c>
      <c r="D38" s="157"/>
      <c r="E38" s="103"/>
      <c r="F38" s="55">
        <f>4*D36*3</f>
        <v>54000</v>
      </c>
      <c r="G38" s="56" t="s">
        <v>18</v>
      </c>
      <c r="H38" s="56" t="s">
        <v>135</v>
      </c>
    </row>
    <row r="39" spans="2:8" ht="54" x14ac:dyDescent="0.25">
      <c r="B39" s="52"/>
      <c r="C39" s="54" t="s">
        <v>71</v>
      </c>
      <c r="D39" s="157"/>
      <c r="E39" s="103"/>
      <c r="F39" s="53" t="s">
        <v>428</v>
      </c>
      <c r="G39" s="56" t="s">
        <v>131</v>
      </c>
      <c r="H39" s="56" t="s">
        <v>122</v>
      </c>
    </row>
    <row r="40" spans="2:8" ht="20.25" customHeight="1" x14ac:dyDescent="0.25">
      <c r="B40" s="52"/>
      <c r="C40" s="71" t="s">
        <v>73</v>
      </c>
      <c r="D40" s="157"/>
      <c r="E40" s="103"/>
      <c r="F40" s="76">
        <f>7*D36*0.004</f>
        <v>126</v>
      </c>
      <c r="G40" s="71" t="s">
        <v>74</v>
      </c>
      <c r="H40" s="71" t="s">
        <v>250</v>
      </c>
    </row>
    <row r="41" spans="2:8" ht="21" x14ac:dyDescent="0.2">
      <c r="B41" s="57"/>
      <c r="C41" s="62"/>
      <c r="D41" s="152"/>
      <c r="E41" s="103"/>
      <c r="F41" s="107"/>
      <c r="G41" s="62"/>
      <c r="H41" s="62"/>
    </row>
    <row r="42" spans="2:8" ht="21" x14ac:dyDescent="0.2">
      <c r="B42" s="189" t="s">
        <v>251</v>
      </c>
      <c r="C42" s="190"/>
      <c r="D42" s="190"/>
      <c r="E42" s="190"/>
      <c r="F42" s="190"/>
      <c r="G42" s="190"/>
      <c r="H42" s="191"/>
    </row>
    <row r="43" spans="2:8" ht="54" x14ac:dyDescent="0.25">
      <c r="B43" s="48" t="s">
        <v>252</v>
      </c>
      <c r="C43" s="54" t="s">
        <v>5</v>
      </c>
      <c r="D43" s="158">
        <v>7560</v>
      </c>
      <c r="E43" s="148">
        <v>6</v>
      </c>
      <c r="F43" s="55">
        <f>0.3*D43</f>
        <v>2268</v>
      </c>
      <c r="G43" s="56" t="s">
        <v>253</v>
      </c>
      <c r="H43" s="56" t="s">
        <v>83</v>
      </c>
    </row>
    <row r="44" spans="2:8" ht="39.75" x14ac:dyDescent="0.25">
      <c r="B44" s="58" t="s">
        <v>254</v>
      </c>
      <c r="C44" s="54" t="s">
        <v>171</v>
      </c>
      <c r="D44" s="159">
        <v>102000</v>
      </c>
      <c r="E44" s="148">
        <v>6</v>
      </c>
      <c r="F44" s="55">
        <f>0.015*D44</f>
        <v>1530</v>
      </c>
      <c r="G44" s="56" t="s">
        <v>1</v>
      </c>
      <c r="H44" s="56" t="s">
        <v>83</v>
      </c>
    </row>
    <row r="45" spans="2:8" ht="39.75" x14ac:dyDescent="0.25">
      <c r="B45" s="56" t="s">
        <v>255</v>
      </c>
      <c r="C45" s="54" t="s">
        <v>7</v>
      </c>
      <c r="D45" s="158">
        <v>11550</v>
      </c>
      <c r="E45" s="148">
        <v>6</v>
      </c>
      <c r="F45" s="55">
        <f>1*D45</f>
        <v>11550</v>
      </c>
      <c r="G45" s="56" t="s">
        <v>8</v>
      </c>
      <c r="H45" s="56" t="s">
        <v>84</v>
      </c>
    </row>
    <row r="46" spans="2:8" ht="39.75" x14ac:dyDescent="0.25">
      <c r="B46" s="56" t="s">
        <v>256</v>
      </c>
      <c r="C46" s="54" t="s">
        <v>257</v>
      </c>
      <c r="D46" s="159">
        <v>9000</v>
      </c>
      <c r="E46" s="148">
        <v>6</v>
      </c>
      <c r="F46" s="55">
        <f>1*D46</f>
        <v>9000</v>
      </c>
      <c r="G46" s="56" t="s">
        <v>258</v>
      </c>
      <c r="H46" s="56" t="s">
        <v>259</v>
      </c>
    </row>
    <row r="47" spans="2:8" ht="20.25" customHeight="1" x14ac:dyDescent="0.25">
      <c r="B47" s="71" t="s">
        <v>260</v>
      </c>
      <c r="C47" s="54" t="s">
        <v>69</v>
      </c>
      <c r="D47" s="160">
        <v>14880</v>
      </c>
      <c r="E47" s="148">
        <v>6</v>
      </c>
      <c r="F47" s="55">
        <f>0.8*D47</f>
        <v>11904</v>
      </c>
      <c r="G47" s="56" t="s">
        <v>116</v>
      </c>
      <c r="H47" s="71" t="s">
        <v>261</v>
      </c>
    </row>
    <row r="48" spans="2:8" ht="21" x14ac:dyDescent="0.25">
      <c r="B48" s="62"/>
      <c r="C48" s="54" t="s">
        <v>262</v>
      </c>
      <c r="D48" s="161"/>
      <c r="E48" s="148">
        <v>6</v>
      </c>
      <c r="F48" s="55">
        <f>0.5*D47</f>
        <v>7440</v>
      </c>
      <c r="G48" s="56" t="s">
        <v>12</v>
      </c>
      <c r="H48" s="62"/>
    </row>
    <row r="49" spans="2:10" ht="20.25" customHeight="1" x14ac:dyDescent="0.25">
      <c r="B49" s="71" t="s">
        <v>263</v>
      </c>
      <c r="C49" s="54" t="s">
        <v>264</v>
      </c>
      <c r="D49" s="160">
        <v>5700</v>
      </c>
      <c r="E49" s="148">
        <v>6</v>
      </c>
      <c r="F49" s="55">
        <f>2.3*D49</f>
        <v>13109.999999999998</v>
      </c>
      <c r="G49" s="56" t="s">
        <v>12</v>
      </c>
      <c r="H49" s="71" t="s">
        <v>213</v>
      </c>
    </row>
    <row r="50" spans="2:10" ht="21" x14ac:dyDescent="0.25">
      <c r="B50" s="62"/>
      <c r="C50" s="54" t="s">
        <v>265</v>
      </c>
      <c r="D50" s="161"/>
      <c r="E50" s="148">
        <v>6</v>
      </c>
      <c r="F50" s="55">
        <f>3*D49</f>
        <v>17100</v>
      </c>
      <c r="G50" s="56" t="s">
        <v>48</v>
      </c>
      <c r="H50" s="62"/>
    </row>
    <row r="51" spans="2:10" ht="54" x14ac:dyDescent="0.25">
      <c r="B51" s="48" t="s">
        <v>266</v>
      </c>
      <c r="C51" s="54" t="s">
        <v>9</v>
      </c>
      <c r="D51" s="162">
        <v>4500</v>
      </c>
      <c r="E51" s="148">
        <v>6</v>
      </c>
      <c r="F51" s="55">
        <f>1.2*D51</f>
        <v>5400</v>
      </c>
      <c r="G51" s="56" t="s">
        <v>85</v>
      </c>
      <c r="H51" s="56" t="s">
        <v>267</v>
      </c>
    </row>
    <row r="52" spans="2:10" ht="21" x14ac:dyDescent="0.25">
      <c r="B52" s="65"/>
      <c r="C52" s="54" t="s">
        <v>69</v>
      </c>
      <c r="D52" s="163"/>
      <c r="E52" s="148">
        <v>6</v>
      </c>
      <c r="F52" s="55">
        <f>0.8*D51</f>
        <v>3600</v>
      </c>
      <c r="G52" s="56" t="s">
        <v>67</v>
      </c>
      <c r="H52" s="56" t="s">
        <v>75</v>
      </c>
    </row>
    <row r="53" spans="2:10" ht="21" x14ac:dyDescent="0.25">
      <c r="B53" s="62"/>
      <c r="C53" s="54" t="s">
        <v>68</v>
      </c>
      <c r="D53" s="161"/>
      <c r="E53" s="148">
        <v>6</v>
      </c>
      <c r="F53" s="55">
        <f>0.5*D51</f>
        <v>2250</v>
      </c>
      <c r="G53" s="56" t="s">
        <v>132</v>
      </c>
      <c r="H53" s="56" t="s">
        <v>75</v>
      </c>
    </row>
    <row r="54" spans="2:10" ht="75.75" x14ac:dyDescent="0.25">
      <c r="B54" s="56" t="s">
        <v>268</v>
      </c>
      <c r="C54" s="54" t="s">
        <v>200</v>
      </c>
      <c r="D54" s="158">
        <v>3870</v>
      </c>
      <c r="E54" s="148">
        <v>6</v>
      </c>
      <c r="F54" s="55">
        <f>1.3*D54</f>
        <v>5031</v>
      </c>
      <c r="G54" s="56" t="s">
        <v>67</v>
      </c>
      <c r="H54" s="56" t="s">
        <v>269</v>
      </c>
    </row>
    <row r="55" spans="2:10" ht="54" x14ac:dyDescent="0.25">
      <c r="B55" s="48" t="s">
        <v>270</v>
      </c>
      <c r="C55" s="54" t="s">
        <v>10</v>
      </c>
      <c r="D55" s="162">
        <v>12870</v>
      </c>
      <c r="E55" s="148">
        <v>6</v>
      </c>
      <c r="F55" s="82">
        <f>2.5*D55</f>
        <v>32175</v>
      </c>
      <c r="G55" s="56" t="s">
        <v>271</v>
      </c>
      <c r="H55" s="56" t="s">
        <v>119</v>
      </c>
    </row>
    <row r="56" spans="2:10" ht="36" x14ac:dyDescent="0.25">
      <c r="B56" s="57"/>
      <c r="C56" s="54" t="s">
        <v>66</v>
      </c>
      <c r="D56" s="161"/>
      <c r="E56" s="148">
        <v>6</v>
      </c>
      <c r="F56" s="82">
        <f>0.15*D55</f>
        <v>1930.5</v>
      </c>
      <c r="G56" s="56" t="s">
        <v>85</v>
      </c>
      <c r="H56" s="56" t="s">
        <v>79</v>
      </c>
    </row>
    <row r="57" spans="2:10" ht="20.25" customHeight="1" x14ac:dyDescent="0.25">
      <c r="B57" s="48" t="s">
        <v>272</v>
      </c>
      <c r="C57" s="54" t="s">
        <v>178</v>
      </c>
      <c r="D57" s="160">
        <v>13500</v>
      </c>
      <c r="E57" s="148">
        <v>6</v>
      </c>
      <c r="F57" s="82">
        <f>0.4*D57</f>
        <v>5400</v>
      </c>
      <c r="G57" s="71" t="s">
        <v>273</v>
      </c>
      <c r="H57" s="56" t="s">
        <v>274</v>
      </c>
    </row>
    <row r="58" spans="2:10" ht="36" x14ac:dyDescent="0.25">
      <c r="B58" s="57"/>
      <c r="C58" s="54" t="s">
        <v>141</v>
      </c>
      <c r="D58" s="161"/>
      <c r="E58" s="148">
        <v>6</v>
      </c>
      <c r="F58" s="82">
        <f>1*D57</f>
        <v>13500</v>
      </c>
      <c r="G58" s="62"/>
      <c r="H58" s="56" t="s">
        <v>275</v>
      </c>
    </row>
    <row r="59" spans="2:10" ht="142.5" x14ac:dyDescent="0.25">
      <c r="B59" s="58" t="s">
        <v>276</v>
      </c>
      <c r="C59" s="54" t="s">
        <v>167</v>
      </c>
      <c r="D59" s="159">
        <v>29700</v>
      </c>
      <c r="E59" s="148">
        <v>6</v>
      </c>
      <c r="F59" s="55">
        <f>0.075*D59</f>
        <v>2227.5</v>
      </c>
      <c r="G59" s="56" t="s">
        <v>277</v>
      </c>
      <c r="H59" s="56" t="s">
        <v>168</v>
      </c>
      <c r="J59" s="24" t="s">
        <v>0</v>
      </c>
    </row>
    <row r="60" spans="2:10" ht="54" x14ac:dyDescent="0.25">
      <c r="B60" s="58" t="s">
        <v>278</v>
      </c>
      <c r="C60" s="54" t="s">
        <v>4</v>
      </c>
      <c r="D60" s="158">
        <v>21120</v>
      </c>
      <c r="E60" s="148">
        <v>6</v>
      </c>
      <c r="F60" s="82">
        <f>0.4*D60</f>
        <v>8448</v>
      </c>
      <c r="G60" s="56" t="s">
        <v>12</v>
      </c>
      <c r="H60" s="56" t="s">
        <v>279</v>
      </c>
    </row>
    <row r="61" spans="2:10" ht="40.5" customHeight="1" x14ac:dyDescent="0.25">
      <c r="B61" s="48" t="s">
        <v>280</v>
      </c>
      <c r="C61" s="54" t="s">
        <v>281</v>
      </c>
      <c r="D61" s="160">
        <v>12600</v>
      </c>
      <c r="E61" s="148">
        <v>6</v>
      </c>
      <c r="F61" s="82">
        <f>0.25*D61</f>
        <v>3150</v>
      </c>
      <c r="G61" s="56" t="s">
        <v>88</v>
      </c>
      <c r="H61" s="71" t="s">
        <v>282</v>
      </c>
    </row>
    <row r="62" spans="2:10" ht="21" x14ac:dyDescent="0.25">
      <c r="B62" s="57"/>
      <c r="C62" s="54" t="s">
        <v>182</v>
      </c>
      <c r="D62" s="161"/>
      <c r="E62" s="148">
        <v>6</v>
      </c>
      <c r="F62" s="82">
        <f>0.4*D61</f>
        <v>5040</v>
      </c>
      <c r="G62" s="56" t="s">
        <v>283</v>
      </c>
      <c r="H62" s="62"/>
    </row>
    <row r="63" spans="2:10" ht="39.75" x14ac:dyDescent="0.25">
      <c r="B63" s="58" t="s">
        <v>284</v>
      </c>
      <c r="C63" s="54" t="s">
        <v>152</v>
      </c>
      <c r="D63" s="159">
        <v>144000</v>
      </c>
      <c r="E63" s="148">
        <v>6</v>
      </c>
      <c r="F63" s="82">
        <f>0.05*D63</f>
        <v>7200</v>
      </c>
      <c r="G63" s="56" t="s">
        <v>6</v>
      </c>
      <c r="H63" s="56" t="s">
        <v>115</v>
      </c>
    </row>
    <row r="64" spans="2:10" ht="39.75" x14ac:dyDescent="0.25">
      <c r="B64" s="58" t="s">
        <v>285</v>
      </c>
      <c r="C64" s="54" t="s">
        <v>13</v>
      </c>
      <c r="D64" s="158">
        <v>4680</v>
      </c>
      <c r="E64" s="148">
        <v>6</v>
      </c>
      <c r="F64" s="55">
        <f>0.5*D64</f>
        <v>2340</v>
      </c>
      <c r="G64" s="56" t="s">
        <v>123</v>
      </c>
      <c r="H64" s="56" t="s">
        <v>83</v>
      </c>
    </row>
    <row r="65" spans="2:8" ht="20.25" customHeight="1" x14ac:dyDescent="0.25">
      <c r="B65" s="48" t="s">
        <v>286</v>
      </c>
      <c r="C65" s="71" t="s">
        <v>182</v>
      </c>
      <c r="D65" s="160">
        <v>18000</v>
      </c>
      <c r="E65" s="148">
        <v>6</v>
      </c>
      <c r="F65" s="108">
        <f>0.4*D65</f>
        <v>7200</v>
      </c>
      <c r="G65" s="71" t="s">
        <v>287</v>
      </c>
      <c r="H65" s="71" t="s">
        <v>151</v>
      </c>
    </row>
    <row r="66" spans="2:8" ht="21" x14ac:dyDescent="0.25">
      <c r="B66" s="57"/>
      <c r="C66" s="62"/>
      <c r="D66" s="161"/>
      <c r="E66" s="148">
        <v>6</v>
      </c>
      <c r="F66" s="109"/>
      <c r="G66" s="62"/>
      <c r="H66" s="62"/>
    </row>
    <row r="67" spans="2:8" ht="36" x14ac:dyDescent="0.25">
      <c r="B67" s="58" t="s">
        <v>288</v>
      </c>
      <c r="C67" s="54" t="s">
        <v>15</v>
      </c>
      <c r="D67" s="158">
        <v>8580</v>
      </c>
      <c r="E67" s="148">
        <v>6</v>
      </c>
      <c r="F67" s="55">
        <f>1.5*D67</f>
        <v>12870</v>
      </c>
      <c r="G67" s="56" t="s">
        <v>16</v>
      </c>
      <c r="H67" s="56" t="s">
        <v>86</v>
      </c>
    </row>
    <row r="68" spans="2:8" ht="36" x14ac:dyDescent="0.25">
      <c r="B68" s="48" t="s">
        <v>289</v>
      </c>
      <c r="C68" s="54" t="s">
        <v>17</v>
      </c>
      <c r="D68" s="160">
        <v>15000</v>
      </c>
      <c r="E68" s="148">
        <v>6</v>
      </c>
      <c r="F68" s="55">
        <f>0.9*D68</f>
        <v>13500</v>
      </c>
      <c r="G68" s="56" t="s">
        <v>18</v>
      </c>
      <c r="H68" s="56" t="s">
        <v>87</v>
      </c>
    </row>
    <row r="69" spans="2:8" ht="20.25" customHeight="1" x14ac:dyDescent="0.25">
      <c r="B69" s="52"/>
      <c r="C69" s="54">
        <v>1.6</v>
      </c>
      <c r="D69" s="163"/>
      <c r="E69" s="148">
        <v>6</v>
      </c>
      <c r="F69" s="55">
        <f>1.6*D68</f>
        <v>24000</v>
      </c>
      <c r="G69" s="56" t="s">
        <v>19</v>
      </c>
      <c r="H69" s="71" t="s">
        <v>87</v>
      </c>
    </row>
    <row r="70" spans="2:8" ht="21" x14ac:dyDescent="0.25">
      <c r="B70" s="57"/>
      <c r="C70" s="54">
        <v>1.4</v>
      </c>
      <c r="D70" s="161"/>
      <c r="E70" s="148">
        <v>6</v>
      </c>
      <c r="F70" s="55">
        <f>1.4*D68</f>
        <v>21000</v>
      </c>
      <c r="G70" s="56" t="s">
        <v>20</v>
      </c>
      <c r="H70" s="62"/>
    </row>
    <row r="71" spans="2:8" ht="36" x14ac:dyDescent="0.25">
      <c r="B71" s="89" t="s">
        <v>290</v>
      </c>
      <c r="C71" s="78">
        <v>0.5</v>
      </c>
      <c r="D71" s="162">
        <v>27270</v>
      </c>
      <c r="E71" s="148">
        <v>6</v>
      </c>
      <c r="F71" s="61">
        <f>0.5*D71</f>
        <v>13635</v>
      </c>
      <c r="G71" s="80" t="s">
        <v>16</v>
      </c>
      <c r="H71" s="80" t="s">
        <v>150</v>
      </c>
    </row>
    <row r="72" spans="2:8" ht="36" x14ac:dyDescent="0.25">
      <c r="B72" s="91"/>
      <c r="C72" s="78" t="s">
        <v>107</v>
      </c>
      <c r="D72" s="164"/>
      <c r="E72" s="148">
        <v>6</v>
      </c>
      <c r="F72" s="61">
        <f>0.7*D71</f>
        <v>19089</v>
      </c>
      <c r="G72" s="80" t="s">
        <v>18</v>
      </c>
      <c r="H72" s="80" t="s">
        <v>87</v>
      </c>
    </row>
    <row r="73" spans="2:8" ht="57.75" x14ac:dyDescent="0.25">
      <c r="B73" s="58" t="s">
        <v>291</v>
      </c>
      <c r="C73" s="54" t="s">
        <v>4</v>
      </c>
      <c r="D73" s="159">
        <v>15000</v>
      </c>
      <c r="E73" s="148">
        <v>6</v>
      </c>
      <c r="F73" s="82">
        <f>0.4*D73</f>
        <v>6000</v>
      </c>
      <c r="G73" s="56" t="s">
        <v>229</v>
      </c>
      <c r="H73" s="56" t="s">
        <v>21</v>
      </c>
    </row>
    <row r="74" spans="2:8" ht="57.75" x14ac:dyDescent="0.25">
      <c r="B74" s="58" t="s">
        <v>292</v>
      </c>
      <c r="C74" s="54" t="s">
        <v>69</v>
      </c>
      <c r="D74" s="159">
        <v>8700</v>
      </c>
      <c r="E74" s="148">
        <v>6</v>
      </c>
      <c r="F74" s="55">
        <f>0.8*D74</f>
        <v>6960</v>
      </c>
      <c r="G74" s="56" t="s">
        <v>85</v>
      </c>
      <c r="H74" s="56" t="s">
        <v>293</v>
      </c>
    </row>
    <row r="75" spans="2:8" ht="54" x14ac:dyDescent="0.25">
      <c r="B75" s="48" t="s">
        <v>294</v>
      </c>
      <c r="C75" s="54">
        <v>0.01</v>
      </c>
      <c r="D75" s="160">
        <v>71400</v>
      </c>
      <c r="E75" s="148">
        <v>6</v>
      </c>
      <c r="F75" s="55">
        <f>0.01*D75</f>
        <v>714</v>
      </c>
      <c r="G75" s="56" t="s">
        <v>123</v>
      </c>
      <c r="H75" s="56" t="s">
        <v>295</v>
      </c>
    </row>
    <row r="76" spans="2:8" ht="36" x14ac:dyDescent="0.25">
      <c r="B76" s="57"/>
      <c r="C76" s="54" t="s">
        <v>76</v>
      </c>
      <c r="D76" s="161"/>
      <c r="E76" s="148">
        <v>6</v>
      </c>
      <c r="F76" s="55">
        <f>0.008*D75</f>
        <v>571.20000000000005</v>
      </c>
      <c r="G76" s="56" t="s">
        <v>67</v>
      </c>
      <c r="H76" s="56" t="s">
        <v>124</v>
      </c>
    </row>
    <row r="77" spans="2:8" ht="20.25" customHeight="1" x14ac:dyDescent="0.25">
      <c r="B77" s="48" t="s">
        <v>296</v>
      </c>
      <c r="C77" s="71" t="s">
        <v>63</v>
      </c>
      <c r="D77" s="160">
        <v>87000</v>
      </c>
      <c r="E77" s="148">
        <v>6</v>
      </c>
      <c r="F77" s="106">
        <f>0.009*D77</f>
        <v>782.99999999999989</v>
      </c>
      <c r="G77" s="71" t="s">
        <v>88</v>
      </c>
      <c r="H77" s="71" t="s">
        <v>297</v>
      </c>
    </row>
    <row r="78" spans="2:8" ht="21" x14ac:dyDescent="0.25">
      <c r="B78" s="57"/>
      <c r="C78" s="62"/>
      <c r="D78" s="161"/>
      <c r="E78" s="148">
        <v>6</v>
      </c>
      <c r="F78" s="107"/>
      <c r="G78" s="62"/>
      <c r="H78" s="62"/>
    </row>
    <row r="79" spans="2:8" ht="20.25" customHeight="1" x14ac:dyDescent="0.25">
      <c r="B79" s="48" t="s">
        <v>298</v>
      </c>
      <c r="C79" s="71" t="s">
        <v>22</v>
      </c>
      <c r="D79" s="160">
        <v>10500</v>
      </c>
      <c r="E79" s="148">
        <v>6</v>
      </c>
      <c r="F79" s="106">
        <f>0.4*D79</f>
        <v>4200</v>
      </c>
      <c r="G79" s="71" t="s">
        <v>137</v>
      </c>
      <c r="H79" s="71" t="s">
        <v>130</v>
      </c>
    </row>
    <row r="80" spans="2:8" ht="21" x14ac:dyDescent="0.25">
      <c r="B80" s="52"/>
      <c r="C80" s="62"/>
      <c r="D80" s="163"/>
      <c r="E80" s="148">
        <v>6</v>
      </c>
      <c r="F80" s="107"/>
      <c r="G80" s="62"/>
      <c r="H80" s="65"/>
    </row>
    <row r="81" spans="2:12" ht="28.5" customHeight="1" x14ac:dyDescent="0.25">
      <c r="B81" s="57"/>
      <c r="C81" s="54" t="s">
        <v>174</v>
      </c>
      <c r="D81" s="161"/>
      <c r="E81" s="148">
        <v>6</v>
      </c>
      <c r="F81" s="55">
        <f>0.8*D79</f>
        <v>8400</v>
      </c>
      <c r="G81" s="73" t="s">
        <v>67</v>
      </c>
      <c r="H81" s="62"/>
    </row>
    <row r="82" spans="2:12" ht="62.25" customHeight="1" x14ac:dyDescent="0.25">
      <c r="B82" s="52" t="s">
        <v>299</v>
      </c>
      <c r="C82" s="54" t="s">
        <v>197</v>
      </c>
      <c r="D82" s="159">
        <v>93000</v>
      </c>
      <c r="E82" s="148">
        <v>6</v>
      </c>
      <c r="F82" s="55">
        <f>0.01*D82</f>
        <v>930</v>
      </c>
      <c r="G82" s="73" t="s">
        <v>300</v>
      </c>
      <c r="H82" s="62" t="s">
        <v>301</v>
      </c>
    </row>
    <row r="83" spans="2:12" ht="42.75" customHeight="1" x14ac:dyDescent="0.25">
      <c r="B83" s="48" t="s">
        <v>302</v>
      </c>
      <c r="C83" s="54" t="s">
        <v>183</v>
      </c>
      <c r="D83" s="162">
        <v>44940</v>
      </c>
      <c r="E83" s="148">
        <v>6</v>
      </c>
      <c r="F83" s="55">
        <f>0.25*D83</f>
        <v>11235</v>
      </c>
      <c r="G83" s="73" t="s">
        <v>128</v>
      </c>
      <c r="H83" s="62" t="s">
        <v>184</v>
      </c>
    </row>
    <row r="84" spans="2:12" ht="132" customHeight="1" x14ac:dyDescent="0.25">
      <c r="B84" s="57"/>
      <c r="C84" s="54" t="s">
        <v>32</v>
      </c>
      <c r="D84" s="161"/>
      <c r="E84" s="148">
        <v>6</v>
      </c>
      <c r="F84" s="55">
        <f>0.3*D83</f>
        <v>13482</v>
      </c>
      <c r="G84" s="73" t="s">
        <v>303</v>
      </c>
      <c r="H84" s="62" t="s">
        <v>184</v>
      </c>
    </row>
    <row r="85" spans="2:12" ht="72" x14ac:dyDescent="0.25">
      <c r="B85" s="52" t="s">
        <v>304</v>
      </c>
      <c r="C85" s="54" t="s">
        <v>65</v>
      </c>
      <c r="D85" s="165">
        <v>266040</v>
      </c>
      <c r="E85" s="148">
        <v>6</v>
      </c>
      <c r="F85" s="64">
        <v>2956</v>
      </c>
      <c r="G85" s="68" t="s">
        <v>126</v>
      </c>
      <c r="H85" s="65" t="s">
        <v>184</v>
      </c>
      <c r="J85" s="66"/>
      <c r="K85" s="67"/>
      <c r="L85" s="66">
        <f>J85/15</f>
        <v>0</v>
      </c>
    </row>
    <row r="86" spans="2:12" ht="25.5" customHeight="1" x14ac:dyDescent="0.25">
      <c r="B86" s="48" t="s">
        <v>305</v>
      </c>
      <c r="C86" s="54" t="s">
        <v>196</v>
      </c>
      <c r="D86" s="162">
        <v>19920</v>
      </c>
      <c r="E86" s="148">
        <v>6</v>
      </c>
      <c r="F86" s="55">
        <f>5*D86</f>
        <v>99600</v>
      </c>
      <c r="G86" s="68" t="s">
        <v>258</v>
      </c>
      <c r="H86" s="71" t="s">
        <v>306</v>
      </c>
    </row>
    <row r="87" spans="2:12" ht="21" customHeight="1" x14ac:dyDescent="0.25">
      <c r="B87" s="57"/>
      <c r="C87" s="54" t="s">
        <v>144</v>
      </c>
      <c r="D87" s="161"/>
      <c r="E87" s="148">
        <v>6</v>
      </c>
      <c r="F87" s="55">
        <f>1.5*D86</f>
        <v>29880</v>
      </c>
      <c r="G87" s="69"/>
      <c r="H87" s="62"/>
    </row>
    <row r="88" spans="2:12" ht="44.25" customHeight="1" x14ac:dyDescent="0.25">
      <c r="B88" s="58" t="s">
        <v>307</v>
      </c>
      <c r="C88" s="70" t="s">
        <v>127</v>
      </c>
      <c r="D88" s="159">
        <v>91800</v>
      </c>
      <c r="E88" s="148">
        <v>6</v>
      </c>
      <c r="F88" s="55">
        <f>0.01*D88</f>
        <v>918</v>
      </c>
      <c r="G88" s="73" t="s">
        <v>88</v>
      </c>
      <c r="H88" s="56" t="s">
        <v>83</v>
      </c>
    </row>
    <row r="89" spans="2:12" ht="39.75" customHeight="1" x14ac:dyDescent="0.25">
      <c r="B89" s="48" t="s">
        <v>308</v>
      </c>
      <c r="C89" s="70" t="s">
        <v>192</v>
      </c>
      <c r="D89" s="162">
        <v>9630</v>
      </c>
      <c r="E89" s="148">
        <v>6</v>
      </c>
      <c r="F89" s="55">
        <f>1.3*D89</f>
        <v>12519</v>
      </c>
      <c r="G89" s="73" t="s">
        <v>309</v>
      </c>
      <c r="H89" s="71" t="s">
        <v>310</v>
      </c>
    </row>
    <row r="90" spans="2:12" ht="24.75" customHeight="1" x14ac:dyDescent="0.25">
      <c r="B90" s="57"/>
      <c r="C90" s="70" t="s">
        <v>193</v>
      </c>
      <c r="D90" s="161"/>
      <c r="E90" s="148">
        <v>6</v>
      </c>
      <c r="F90" s="55">
        <f>1.6*D89</f>
        <v>15408</v>
      </c>
      <c r="G90" s="73" t="s">
        <v>258</v>
      </c>
      <c r="H90" s="62"/>
    </row>
    <row r="91" spans="2:12" ht="44.25" customHeight="1" x14ac:dyDescent="0.25">
      <c r="B91" s="48" t="s">
        <v>311</v>
      </c>
      <c r="C91" s="70" t="s">
        <v>144</v>
      </c>
      <c r="D91" s="160">
        <v>7200</v>
      </c>
      <c r="E91" s="148">
        <v>6</v>
      </c>
      <c r="F91" s="55">
        <f>1.5*D91</f>
        <v>10800</v>
      </c>
      <c r="G91" s="73" t="s">
        <v>312</v>
      </c>
      <c r="H91" s="71" t="s">
        <v>150</v>
      </c>
    </row>
    <row r="92" spans="2:12" ht="25.5" customHeight="1" x14ac:dyDescent="0.25">
      <c r="B92" s="52"/>
      <c r="C92" s="49">
        <v>2</v>
      </c>
      <c r="D92" s="163"/>
      <c r="E92" s="148">
        <v>6</v>
      </c>
      <c r="F92" s="82">
        <f>2*D91</f>
        <v>14400</v>
      </c>
      <c r="G92" s="56" t="s">
        <v>191</v>
      </c>
      <c r="H92" s="71" t="s">
        <v>28</v>
      </c>
    </row>
    <row r="93" spans="2:12" ht="21" customHeight="1" x14ac:dyDescent="0.25">
      <c r="B93" s="57"/>
      <c r="C93" s="54" t="s">
        <v>144</v>
      </c>
      <c r="D93" s="161"/>
      <c r="E93" s="148">
        <v>6</v>
      </c>
      <c r="F93" s="55">
        <f>1.5*D91</f>
        <v>10800</v>
      </c>
      <c r="G93" s="56" t="s">
        <v>1</v>
      </c>
      <c r="H93" s="62"/>
    </row>
    <row r="94" spans="2:12" ht="40.5" customHeight="1" x14ac:dyDescent="0.25">
      <c r="B94" s="48" t="s">
        <v>313</v>
      </c>
      <c r="C94" s="51" t="s">
        <v>23</v>
      </c>
      <c r="D94" s="160">
        <v>3720</v>
      </c>
      <c r="E94" s="148">
        <v>6</v>
      </c>
      <c r="F94" s="55">
        <f>2*D94</f>
        <v>7440</v>
      </c>
      <c r="G94" s="73" t="s">
        <v>11</v>
      </c>
      <c r="H94" s="56" t="s">
        <v>207</v>
      </c>
    </row>
    <row r="95" spans="2:12" ht="18.75" customHeight="1" x14ac:dyDescent="0.25">
      <c r="B95" s="52"/>
      <c r="C95" s="115" t="s">
        <v>24</v>
      </c>
      <c r="D95" s="163"/>
      <c r="E95" s="148">
        <v>6</v>
      </c>
      <c r="F95" s="106">
        <f>1.5*D94</f>
        <v>5580</v>
      </c>
      <c r="G95" s="71" t="s">
        <v>314</v>
      </c>
      <c r="H95" s="71" t="s">
        <v>89</v>
      </c>
    </row>
    <row r="96" spans="2:12" ht="60" customHeight="1" x14ac:dyDescent="0.25">
      <c r="B96" s="52"/>
      <c r="C96" s="116"/>
      <c r="D96" s="163"/>
      <c r="E96" s="148">
        <v>6</v>
      </c>
      <c r="F96" s="107"/>
      <c r="G96" s="62"/>
      <c r="H96" s="62"/>
    </row>
    <row r="97" spans="2:8" ht="36" x14ac:dyDescent="0.25">
      <c r="B97" s="52"/>
      <c r="C97" s="72" t="s">
        <v>25</v>
      </c>
      <c r="D97" s="163"/>
      <c r="E97" s="148">
        <v>6</v>
      </c>
      <c r="F97" s="55">
        <f>2*D94</f>
        <v>7440</v>
      </c>
      <c r="G97" s="73" t="s">
        <v>169</v>
      </c>
      <c r="H97" s="56" t="s">
        <v>89</v>
      </c>
    </row>
    <row r="98" spans="2:8" ht="21" x14ac:dyDescent="0.25">
      <c r="B98" s="52"/>
      <c r="C98" s="72" t="s">
        <v>26</v>
      </c>
      <c r="D98" s="163"/>
      <c r="E98" s="148">
        <v>6</v>
      </c>
      <c r="F98" s="55">
        <f>1*D94</f>
        <v>3720</v>
      </c>
      <c r="G98" s="73" t="s">
        <v>27</v>
      </c>
      <c r="H98" s="56" t="s">
        <v>28</v>
      </c>
    </row>
    <row r="99" spans="2:8" ht="20.25" customHeight="1" x14ac:dyDescent="0.25">
      <c r="B99" s="52"/>
      <c r="C99" s="115" t="s">
        <v>29</v>
      </c>
      <c r="D99" s="163"/>
      <c r="E99" s="148">
        <v>6</v>
      </c>
      <c r="F99" s="106">
        <f>1.5*D94</f>
        <v>5580</v>
      </c>
      <c r="G99" s="68" t="s">
        <v>190</v>
      </c>
      <c r="H99" s="71" t="s">
        <v>89</v>
      </c>
    </row>
    <row r="100" spans="2:8" ht="21" x14ac:dyDescent="0.25">
      <c r="B100" s="52"/>
      <c r="C100" s="117"/>
      <c r="D100" s="163"/>
      <c r="E100" s="148">
        <v>6</v>
      </c>
      <c r="F100" s="118"/>
      <c r="G100" s="65"/>
      <c r="H100" s="65"/>
    </row>
    <row r="101" spans="2:8" ht="21" x14ac:dyDescent="0.25">
      <c r="B101" s="57"/>
      <c r="C101" s="116"/>
      <c r="D101" s="161"/>
      <c r="E101" s="148">
        <v>6</v>
      </c>
      <c r="F101" s="107"/>
      <c r="G101" s="62"/>
      <c r="H101" s="62"/>
    </row>
    <row r="102" spans="2:8" ht="20.25" customHeight="1" x14ac:dyDescent="0.25">
      <c r="B102" s="48" t="s">
        <v>315</v>
      </c>
      <c r="C102" s="54" t="s">
        <v>141</v>
      </c>
      <c r="D102" s="160">
        <v>3900</v>
      </c>
      <c r="E102" s="148">
        <v>6</v>
      </c>
      <c r="F102" s="74">
        <f>1*D102</f>
        <v>3900</v>
      </c>
      <c r="G102" s="62" t="s">
        <v>142</v>
      </c>
      <c r="H102" s="62" t="s">
        <v>28</v>
      </c>
    </row>
    <row r="103" spans="2:8" ht="36" x14ac:dyDescent="0.25">
      <c r="B103" s="52"/>
      <c r="C103" s="54" t="s">
        <v>143</v>
      </c>
      <c r="D103" s="163"/>
      <c r="E103" s="148">
        <v>6</v>
      </c>
      <c r="F103" s="74">
        <f>2*D102</f>
        <v>7800</v>
      </c>
      <c r="G103" s="62" t="s">
        <v>90</v>
      </c>
      <c r="H103" s="62" t="s">
        <v>89</v>
      </c>
    </row>
    <row r="104" spans="2:8" ht="20.25" customHeight="1" x14ac:dyDescent="0.25">
      <c r="B104" s="52"/>
      <c r="C104" s="54" t="s">
        <v>144</v>
      </c>
      <c r="D104" s="163"/>
      <c r="E104" s="148">
        <v>6</v>
      </c>
      <c r="F104" s="74">
        <f>1.5*D102</f>
        <v>5850</v>
      </c>
      <c r="G104" s="71" t="s">
        <v>145</v>
      </c>
      <c r="H104" s="71" t="s">
        <v>89</v>
      </c>
    </row>
    <row r="105" spans="2:8" ht="21" x14ac:dyDescent="0.25">
      <c r="B105" s="52"/>
      <c r="C105" s="54" t="s">
        <v>146</v>
      </c>
      <c r="D105" s="163"/>
      <c r="E105" s="148">
        <v>6</v>
      </c>
      <c r="F105" s="74">
        <f>1.5*D102</f>
        <v>5850</v>
      </c>
      <c r="G105" s="62"/>
      <c r="H105" s="62"/>
    </row>
    <row r="106" spans="2:8" ht="36" x14ac:dyDescent="0.25">
      <c r="B106" s="52"/>
      <c r="C106" s="54" t="s">
        <v>146</v>
      </c>
      <c r="D106" s="163"/>
      <c r="E106" s="148">
        <v>6</v>
      </c>
      <c r="F106" s="74">
        <f>1.5*D102</f>
        <v>5850</v>
      </c>
      <c r="G106" s="71" t="s">
        <v>11</v>
      </c>
      <c r="H106" s="62" t="s">
        <v>89</v>
      </c>
    </row>
    <row r="107" spans="2:8" ht="21" x14ac:dyDescent="0.25">
      <c r="B107" s="57"/>
      <c r="C107" s="49">
        <v>4</v>
      </c>
      <c r="D107" s="161"/>
      <c r="E107" s="148">
        <v>6</v>
      </c>
      <c r="F107" s="74">
        <f>4*D102</f>
        <v>15600</v>
      </c>
      <c r="G107" s="62"/>
      <c r="H107" s="62" t="s">
        <v>147</v>
      </c>
    </row>
    <row r="108" spans="2:8" ht="39.75" x14ac:dyDescent="0.25">
      <c r="B108" s="58" t="s">
        <v>316</v>
      </c>
      <c r="C108" s="82">
        <v>0.02</v>
      </c>
      <c r="D108" s="133">
        <v>313200</v>
      </c>
      <c r="E108" s="148">
        <v>6</v>
      </c>
      <c r="F108" s="74">
        <f>0.02*D108</f>
        <v>6264</v>
      </c>
      <c r="G108" s="56" t="s">
        <v>172</v>
      </c>
      <c r="H108" s="56" t="s">
        <v>173</v>
      </c>
    </row>
    <row r="109" spans="2:8" ht="20.25" customHeight="1" x14ac:dyDescent="0.25">
      <c r="B109" s="48" t="s">
        <v>317</v>
      </c>
      <c r="C109" s="71">
        <v>0.1</v>
      </c>
      <c r="D109" s="160">
        <v>91200</v>
      </c>
      <c r="E109" s="148">
        <v>6</v>
      </c>
      <c r="F109" s="106">
        <f>0.1*D109</f>
        <v>9120</v>
      </c>
      <c r="G109" s="71" t="s">
        <v>16</v>
      </c>
      <c r="H109" s="71" t="s">
        <v>91</v>
      </c>
    </row>
    <row r="110" spans="2:8" ht="21" x14ac:dyDescent="0.25">
      <c r="B110" s="57"/>
      <c r="C110" s="62"/>
      <c r="D110" s="161"/>
      <c r="E110" s="148">
        <v>6</v>
      </c>
      <c r="F110" s="107"/>
      <c r="G110" s="62"/>
      <c r="H110" s="62"/>
    </row>
    <row r="111" spans="2:8" ht="36" x14ac:dyDescent="0.25">
      <c r="B111" s="48" t="s">
        <v>318</v>
      </c>
      <c r="C111" s="54" t="s">
        <v>319</v>
      </c>
      <c r="D111" s="160">
        <v>59400</v>
      </c>
      <c r="E111" s="148">
        <v>6</v>
      </c>
      <c r="F111" s="55">
        <f>0.06*D111</f>
        <v>3564</v>
      </c>
      <c r="G111" s="56" t="s">
        <v>320</v>
      </c>
      <c r="H111" s="56" t="s">
        <v>321</v>
      </c>
    </row>
    <row r="112" spans="2:8" ht="20.25" customHeight="1" x14ac:dyDescent="0.25">
      <c r="B112" s="52"/>
      <c r="C112" s="54" t="s">
        <v>64</v>
      </c>
      <c r="D112" s="163"/>
      <c r="E112" s="148">
        <v>6</v>
      </c>
      <c r="F112" s="55">
        <f>0.08*D111</f>
        <v>4752</v>
      </c>
      <c r="G112" s="56" t="s">
        <v>67</v>
      </c>
      <c r="H112" s="71" t="s">
        <v>322</v>
      </c>
    </row>
    <row r="113" spans="2:8" ht="21" x14ac:dyDescent="0.25">
      <c r="B113" s="52"/>
      <c r="C113" s="54" t="s">
        <v>77</v>
      </c>
      <c r="D113" s="163"/>
      <c r="E113" s="148">
        <v>6</v>
      </c>
      <c r="F113" s="55">
        <f>0.12*D111</f>
        <v>7128</v>
      </c>
      <c r="G113" s="56" t="s">
        <v>74</v>
      </c>
      <c r="H113" s="65"/>
    </row>
    <row r="114" spans="2:8" ht="21" x14ac:dyDescent="0.25">
      <c r="B114" s="52"/>
      <c r="C114" s="54" t="s">
        <v>77</v>
      </c>
      <c r="D114" s="163"/>
      <c r="E114" s="148">
        <v>6</v>
      </c>
      <c r="F114" s="55">
        <f>0.12*D111</f>
        <v>7128</v>
      </c>
      <c r="G114" s="56" t="s">
        <v>258</v>
      </c>
      <c r="H114" s="65"/>
    </row>
    <row r="115" spans="2:8" ht="21" x14ac:dyDescent="0.25">
      <c r="B115" s="52"/>
      <c r="C115" s="54" t="s">
        <v>78</v>
      </c>
      <c r="D115" s="163"/>
      <c r="E115" s="148">
        <v>6</v>
      </c>
      <c r="F115" s="55">
        <f>0.12*D111</f>
        <v>7128</v>
      </c>
      <c r="G115" s="56" t="s">
        <v>50</v>
      </c>
      <c r="H115" s="65"/>
    </row>
    <row r="116" spans="2:8" ht="21" x14ac:dyDescent="0.25">
      <c r="B116" s="57"/>
      <c r="C116" s="54" t="s">
        <v>77</v>
      </c>
      <c r="D116" s="161"/>
      <c r="E116" s="148">
        <v>6</v>
      </c>
      <c r="F116" s="55">
        <f>0.12*D111</f>
        <v>7128</v>
      </c>
      <c r="G116" s="56" t="s">
        <v>323</v>
      </c>
      <c r="H116" s="62"/>
    </row>
    <row r="117" spans="2:8" ht="36" x14ac:dyDescent="0.25">
      <c r="B117" s="48" t="s">
        <v>324</v>
      </c>
      <c r="C117" s="60" t="s">
        <v>325</v>
      </c>
      <c r="D117" s="159">
        <v>36600</v>
      </c>
      <c r="E117" s="148">
        <v>6</v>
      </c>
      <c r="F117" s="55">
        <f>0.15*D117</f>
        <v>5490</v>
      </c>
      <c r="G117" s="56" t="s">
        <v>6</v>
      </c>
      <c r="H117" s="71" t="s">
        <v>83</v>
      </c>
    </row>
    <row r="118" spans="2:8" ht="57.75" x14ac:dyDescent="0.25">
      <c r="B118" s="48" t="s">
        <v>326</v>
      </c>
      <c r="C118" s="60" t="s">
        <v>70</v>
      </c>
      <c r="D118" s="158">
        <v>5790</v>
      </c>
      <c r="E118" s="148">
        <v>6</v>
      </c>
      <c r="F118" s="76">
        <f>3*D118</f>
        <v>17370</v>
      </c>
      <c r="G118" s="71" t="s">
        <v>212</v>
      </c>
      <c r="H118" s="71" t="s">
        <v>213</v>
      </c>
    </row>
    <row r="119" spans="2:8" ht="20.25" customHeight="1" x14ac:dyDescent="0.25">
      <c r="B119" s="48" t="s">
        <v>327</v>
      </c>
      <c r="C119" s="54" t="s">
        <v>113</v>
      </c>
      <c r="D119" s="160">
        <v>228000</v>
      </c>
      <c r="E119" s="148">
        <v>6</v>
      </c>
      <c r="F119" s="55">
        <f>0.02*D119</f>
        <v>4560</v>
      </c>
      <c r="G119" s="56" t="s">
        <v>6</v>
      </c>
      <c r="H119" s="71" t="s">
        <v>114</v>
      </c>
    </row>
    <row r="120" spans="2:8" ht="21" x14ac:dyDescent="0.25">
      <c r="B120" s="52"/>
      <c r="C120" s="54">
        <v>2.5000000000000001E-2</v>
      </c>
      <c r="D120" s="163"/>
      <c r="E120" s="148">
        <v>6</v>
      </c>
      <c r="F120" s="55">
        <f>C120*D119</f>
        <v>5700</v>
      </c>
      <c r="G120" s="56" t="s">
        <v>18</v>
      </c>
      <c r="H120" s="65"/>
    </row>
    <row r="121" spans="2:8" ht="21" x14ac:dyDescent="0.25">
      <c r="B121" s="52"/>
      <c r="C121" s="54">
        <v>2.5000000000000001E-2</v>
      </c>
      <c r="D121" s="163"/>
      <c r="E121" s="148">
        <v>6</v>
      </c>
      <c r="F121" s="55">
        <f>C121*D119</f>
        <v>5700</v>
      </c>
      <c r="G121" s="56" t="s">
        <v>19</v>
      </c>
      <c r="H121" s="65"/>
    </row>
    <row r="122" spans="2:8" ht="21" x14ac:dyDescent="0.25">
      <c r="B122" s="57"/>
      <c r="C122" s="54">
        <v>2.5000000000000001E-2</v>
      </c>
      <c r="D122" s="161"/>
      <c r="E122" s="148">
        <v>6</v>
      </c>
      <c r="F122" s="55">
        <f>C122*D119</f>
        <v>5700</v>
      </c>
      <c r="G122" s="56" t="s">
        <v>20</v>
      </c>
      <c r="H122" s="62"/>
    </row>
    <row r="123" spans="2:8" ht="39.75" x14ac:dyDescent="0.25">
      <c r="B123" s="58" t="s">
        <v>328</v>
      </c>
      <c r="C123" s="54" t="s">
        <v>329</v>
      </c>
      <c r="D123" s="159">
        <v>183000</v>
      </c>
      <c r="E123" s="148">
        <v>6</v>
      </c>
      <c r="F123" s="55">
        <f>0.015*D123</f>
        <v>2745</v>
      </c>
      <c r="G123" s="56" t="s">
        <v>55</v>
      </c>
      <c r="H123" s="62" t="s">
        <v>83</v>
      </c>
    </row>
    <row r="124" spans="2:8" ht="21" x14ac:dyDescent="0.2">
      <c r="B124" s="171" t="s">
        <v>330</v>
      </c>
      <c r="C124" s="172"/>
      <c r="D124" s="172"/>
      <c r="E124" s="172"/>
      <c r="F124" s="172"/>
      <c r="G124" s="172"/>
      <c r="H124" s="173"/>
    </row>
    <row r="125" spans="2:8" ht="39.75" x14ac:dyDescent="0.25">
      <c r="B125" s="71" t="s">
        <v>331</v>
      </c>
      <c r="C125" s="54" t="s">
        <v>141</v>
      </c>
      <c r="D125" s="153">
        <v>9240</v>
      </c>
      <c r="E125" s="148">
        <v>6</v>
      </c>
      <c r="F125" s="82">
        <f>1*D125</f>
        <v>9240</v>
      </c>
      <c r="G125" s="56" t="s">
        <v>116</v>
      </c>
      <c r="H125" s="56" t="s">
        <v>332</v>
      </c>
    </row>
    <row r="126" spans="2:8" ht="21" x14ac:dyDescent="0.25">
      <c r="B126" s="62"/>
      <c r="C126" s="49">
        <v>2</v>
      </c>
      <c r="D126" s="152"/>
      <c r="E126" s="148">
        <v>6</v>
      </c>
      <c r="F126" s="82">
        <f>C126*D125</f>
        <v>18480</v>
      </c>
      <c r="G126" s="56" t="s">
        <v>30</v>
      </c>
      <c r="H126" s="56" t="s">
        <v>333</v>
      </c>
    </row>
    <row r="127" spans="2:8" ht="20.25" customHeight="1" x14ac:dyDescent="0.25">
      <c r="B127" s="89" t="s">
        <v>334</v>
      </c>
      <c r="C127" s="119" t="s">
        <v>165</v>
      </c>
      <c r="D127" s="166">
        <v>10350</v>
      </c>
      <c r="E127" s="148">
        <v>6</v>
      </c>
      <c r="F127" s="120">
        <f>0.5*D127</f>
        <v>5175</v>
      </c>
      <c r="G127" s="119" t="s">
        <v>123</v>
      </c>
      <c r="H127" s="119" t="s">
        <v>335</v>
      </c>
    </row>
    <row r="128" spans="2:8" ht="21" x14ac:dyDescent="0.25">
      <c r="B128" s="90"/>
      <c r="C128" s="121"/>
      <c r="D128" s="167"/>
      <c r="E128" s="148">
        <v>6</v>
      </c>
      <c r="F128" s="123"/>
      <c r="G128" s="121"/>
      <c r="H128" s="121"/>
    </row>
    <row r="129" spans="2:8" ht="21" x14ac:dyDescent="0.25">
      <c r="B129" s="90"/>
      <c r="C129" s="124"/>
      <c r="D129" s="167"/>
      <c r="E129" s="148">
        <v>6</v>
      </c>
      <c r="F129" s="125"/>
      <c r="G129" s="124"/>
      <c r="H129" s="124"/>
    </row>
    <row r="130" spans="2:8" ht="21" x14ac:dyDescent="0.25">
      <c r="B130" s="91"/>
      <c r="C130" s="78">
        <v>0.75</v>
      </c>
      <c r="D130" s="168"/>
      <c r="E130" s="148">
        <v>6</v>
      </c>
      <c r="F130" s="79">
        <f>C130*D127</f>
        <v>7762.5</v>
      </c>
      <c r="G130" s="80" t="s">
        <v>30</v>
      </c>
      <c r="H130" s="80" t="s">
        <v>31</v>
      </c>
    </row>
    <row r="131" spans="2:8" ht="20.25" customHeight="1" x14ac:dyDescent="0.25">
      <c r="B131" s="48" t="s">
        <v>336</v>
      </c>
      <c r="C131" s="71" t="s">
        <v>32</v>
      </c>
      <c r="D131" s="151">
        <v>16500</v>
      </c>
      <c r="E131" s="148">
        <v>6</v>
      </c>
      <c r="F131" s="106">
        <f>0.3*D131</f>
        <v>4950</v>
      </c>
      <c r="G131" s="71" t="s">
        <v>123</v>
      </c>
      <c r="H131" s="71" t="s">
        <v>337</v>
      </c>
    </row>
    <row r="132" spans="2:8" ht="21" x14ac:dyDescent="0.25">
      <c r="B132" s="52"/>
      <c r="C132" s="65"/>
      <c r="D132" s="157"/>
      <c r="E132" s="148">
        <v>6</v>
      </c>
      <c r="F132" s="118"/>
      <c r="G132" s="65"/>
      <c r="H132" s="65"/>
    </row>
    <row r="133" spans="2:8" ht="21" x14ac:dyDescent="0.25">
      <c r="B133" s="52"/>
      <c r="C133" s="62"/>
      <c r="D133" s="157"/>
      <c r="E133" s="148">
        <v>6</v>
      </c>
      <c r="F133" s="107"/>
      <c r="G133" s="62"/>
      <c r="H133" s="62"/>
    </row>
    <row r="134" spans="2:8" ht="21" x14ac:dyDescent="0.25">
      <c r="B134" s="52"/>
      <c r="C134" s="54" t="s">
        <v>178</v>
      </c>
      <c r="D134" s="157"/>
      <c r="E134" s="148">
        <v>6</v>
      </c>
      <c r="F134" s="55">
        <f>0.4*D131</f>
        <v>6600</v>
      </c>
      <c r="G134" s="56" t="s">
        <v>258</v>
      </c>
      <c r="H134" s="56" t="s">
        <v>338</v>
      </c>
    </row>
    <row r="135" spans="2:8" ht="21" x14ac:dyDescent="0.25">
      <c r="B135" s="52"/>
      <c r="C135" s="54" t="s">
        <v>178</v>
      </c>
      <c r="D135" s="157"/>
      <c r="E135" s="148">
        <v>6</v>
      </c>
      <c r="F135" s="55">
        <f>0.4*D131</f>
        <v>6600</v>
      </c>
      <c r="G135" s="56" t="s">
        <v>16</v>
      </c>
      <c r="H135" s="56" t="s">
        <v>339</v>
      </c>
    </row>
    <row r="136" spans="2:8" ht="36" x14ac:dyDescent="0.25">
      <c r="B136" s="57"/>
      <c r="C136" s="54" t="s">
        <v>178</v>
      </c>
      <c r="D136" s="152"/>
      <c r="E136" s="148">
        <v>6</v>
      </c>
      <c r="F136" s="55">
        <f>0.4*D131</f>
        <v>6600</v>
      </c>
      <c r="G136" s="71" t="s">
        <v>340</v>
      </c>
      <c r="H136" s="56" t="s">
        <v>341</v>
      </c>
    </row>
    <row r="137" spans="2:8" ht="36" x14ac:dyDescent="0.25">
      <c r="B137" s="48" t="s">
        <v>342</v>
      </c>
      <c r="C137" s="81" t="s">
        <v>178</v>
      </c>
      <c r="D137" s="151">
        <v>6000</v>
      </c>
      <c r="E137" s="148">
        <v>6</v>
      </c>
      <c r="F137" s="55">
        <f>0.4*D137</f>
        <v>2400</v>
      </c>
      <c r="G137" s="71" t="s">
        <v>1</v>
      </c>
      <c r="H137" s="56" t="s">
        <v>343</v>
      </c>
    </row>
    <row r="138" spans="2:8" ht="36" x14ac:dyDescent="0.25">
      <c r="B138" s="52"/>
      <c r="C138" s="54" t="s">
        <v>344</v>
      </c>
      <c r="D138" s="157"/>
      <c r="E138" s="148">
        <v>6</v>
      </c>
      <c r="F138" s="55">
        <f>0.3*D137</f>
        <v>1800</v>
      </c>
      <c r="G138" s="65"/>
      <c r="H138" s="56" t="s">
        <v>345</v>
      </c>
    </row>
    <row r="139" spans="2:8" ht="21" x14ac:dyDescent="0.25">
      <c r="B139" s="52"/>
      <c r="C139" s="54" t="s">
        <v>346</v>
      </c>
      <c r="D139" s="157"/>
      <c r="E139" s="148">
        <v>6</v>
      </c>
      <c r="F139" s="55">
        <f>0.5*D137</f>
        <v>3000</v>
      </c>
      <c r="G139" s="62"/>
      <c r="H139" s="56" t="s">
        <v>347</v>
      </c>
    </row>
    <row r="140" spans="2:8" ht="21" x14ac:dyDescent="0.25">
      <c r="B140" s="52"/>
      <c r="C140" s="54" t="s">
        <v>178</v>
      </c>
      <c r="D140" s="157"/>
      <c r="E140" s="148">
        <v>6</v>
      </c>
      <c r="F140" s="55">
        <f>0.4*D137</f>
        <v>2400</v>
      </c>
      <c r="G140" s="56" t="s">
        <v>55</v>
      </c>
      <c r="H140" s="56" t="s">
        <v>348</v>
      </c>
    </row>
    <row r="141" spans="2:8" ht="36" x14ac:dyDescent="0.25">
      <c r="B141" s="57"/>
      <c r="C141" s="54" t="s">
        <v>141</v>
      </c>
      <c r="D141" s="152"/>
      <c r="E141" s="148">
        <v>6</v>
      </c>
      <c r="F141" s="55">
        <f>1*D137</f>
        <v>6000</v>
      </c>
      <c r="G141" s="56" t="s">
        <v>116</v>
      </c>
      <c r="H141" s="56" t="s">
        <v>349</v>
      </c>
    </row>
    <row r="142" spans="2:8" ht="20.25" customHeight="1" x14ac:dyDescent="0.25">
      <c r="B142" s="48" t="s">
        <v>350</v>
      </c>
      <c r="C142" s="49">
        <v>5</v>
      </c>
      <c r="D142" s="153">
        <v>4500</v>
      </c>
      <c r="E142" s="148">
        <v>6</v>
      </c>
      <c r="F142" s="55">
        <f>C142*D142</f>
        <v>22500</v>
      </c>
      <c r="G142" s="56" t="s">
        <v>40</v>
      </c>
      <c r="H142" s="56" t="s">
        <v>351</v>
      </c>
    </row>
    <row r="143" spans="2:8" ht="21" x14ac:dyDescent="0.25">
      <c r="B143" s="52"/>
      <c r="C143" s="54" t="s">
        <v>196</v>
      </c>
      <c r="D143" s="157"/>
      <c r="E143" s="148">
        <v>6</v>
      </c>
      <c r="F143" s="55">
        <f>5*D142</f>
        <v>22500</v>
      </c>
      <c r="G143" s="56" t="s">
        <v>39</v>
      </c>
      <c r="H143" s="56" t="s">
        <v>33</v>
      </c>
    </row>
    <row r="144" spans="2:8" ht="21" x14ac:dyDescent="0.25">
      <c r="B144" s="52"/>
      <c r="C144" s="49">
        <v>5</v>
      </c>
      <c r="D144" s="157"/>
      <c r="E144" s="148">
        <v>6</v>
      </c>
      <c r="F144" s="55">
        <f>5*D142</f>
        <v>22500</v>
      </c>
      <c r="G144" s="56" t="s">
        <v>352</v>
      </c>
      <c r="H144" s="56" t="s">
        <v>353</v>
      </c>
    </row>
    <row r="145" spans="2:8" ht="21" x14ac:dyDescent="0.25">
      <c r="B145" s="57"/>
      <c r="C145" s="49">
        <v>5</v>
      </c>
      <c r="D145" s="152"/>
      <c r="E145" s="148">
        <v>6</v>
      </c>
      <c r="F145" s="55">
        <f>C145*D142</f>
        <v>22500</v>
      </c>
      <c r="G145" s="56" t="s">
        <v>354</v>
      </c>
      <c r="H145" s="56" t="s">
        <v>355</v>
      </c>
    </row>
    <row r="146" spans="2:8" ht="20.25" customHeight="1" x14ac:dyDescent="0.25">
      <c r="B146" s="48" t="s">
        <v>356</v>
      </c>
      <c r="C146" s="71" t="s">
        <v>162</v>
      </c>
      <c r="D146" s="151">
        <v>9000</v>
      </c>
      <c r="E146" s="148">
        <v>6</v>
      </c>
      <c r="F146" s="126">
        <f>2*D146</f>
        <v>18000</v>
      </c>
      <c r="G146" s="71" t="s">
        <v>357</v>
      </c>
      <c r="H146" s="127" t="s">
        <v>358</v>
      </c>
    </row>
    <row r="147" spans="2:8" ht="21" x14ac:dyDescent="0.25">
      <c r="B147" s="57"/>
      <c r="C147" s="62"/>
      <c r="D147" s="152"/>
      <c r="E147" s="148">
        <v>6</v>
      </c>
      <c r="F147" s="128"/>
      <c r="G147" s="62"/>
      <c r="H147" s="62"/>
    </row>
    <row r="148" spans="2:8" ht="20.25" customHeight="1" x14ac:dyDescent="0.25">
      <c r="B148" s="48" t="s">
        <v>359</v>
      </c>
      <c r="C148" s="54" t="s">
        <v>162</v>
      </c>
      <c r="D148" s="153">
        <v>7710</v>
      </c>
      <c r="E148" s="148">
        <v>6</v>
      </c>
      <c r="F148" s="82">
        <f>0.2*D148</f>
        <v>1542</v>
      </c>
      <c r="G148" s="56" t="s">
        <v>18</v>
      </c>
      <c r="H148" s="83" t="s">
        <v>34</v>
      </c>
    </row>
    <row r="149" spans="2:8" ht="21" x14ac:dyDescent="0.25">
      <c r="B149" s="52"/>
      <c r="C149" s="54" t="s">
        <v>163</v>
      </c>
      <c r="D149" s="157"/>
      <c r="E149" s="148">
        <v>6</v>
      </c>
      <c r="F149" s="55">
        <f>2.5*D148</f>
        <v>19275</v>
      </c>
      <c r="G149" s="56" t="s">
        <v>35</v>
      </c>
      <c r="H149" s="83" t="s">
        <v>34</v>
      </c>
    </row>
    <row r="150" spans="2:8" ht="21" x14ac:dyDescent="0.25">
      <c r="B150" s="52"/>
      <c r="C150" s="54" t="s">
        <v>163</v>
      </c>
      <c r="D150" s="157"/>
      <c r="E150" s="148">
        <v>6</v>
      </c>
      <c r="F150" s="55">
        <f>2.5*D148</f>
        <v>19275</v>
      </c>
      <c r="G150" s="56" t="s">
        <v>36</v>
      </c>
      <c r="H150" s="56" t="s">
        <v>37</v>
      </c>
    </row>
    <row r="151" spans="2:8" ht="21" x14ac:dyDescent="0.25">
      <c r="B151" s="52"/>
      <c r="C151" s="54" t="s">
        <v>163</v>
      </c>
      <c r="D151" s="157"/>
      <c r="E151" s="148">
        <v>6</v>
      </c>
      <c r="F151" s="55">
        <f>2.5*D148</f>
        <v>19275</v>
      </c>
      <c r="G151" s="56" t="s">
        <v>12</v>
      </c>
      <c r="H151" s="56" t="s">
        <v>38</v>
      </c>
    </row>
    <row r="152" spans="2:8" ht="21" x14ac:dyDescent="0.25">
      <c r="B152" s="57"/>
      <c r="C152" s="54" t="s">
        <v>163</v>
      </c>
      <c r="D152" s="152"/>
      <c r="E152" s="148">
        <v>6</v>
      </c>
      <c r="F152" s="55">
        <f>2.5*D148</f>
        <v>19275</v>
      </c>
      <c r="G152" s="56" t="s">
        <v>39</v>
      </c>
      <c r="H152" s="56" t="s">
        <v>33</v>
      </c>
    </row>
    <row r="153" spans="2:8" ht="22.5" x14ac:dyDescent="0.25">
      <c r="B153" s="58" t="s">
        <v>360</v>
      </c>
      <c r="C153" s="54" t="s">
        <v>164</v>
      </c>
      <c r="D153" s="156">
        <v>31800</v>
      </c>
      <c r="E153" s="148">
        <v>6</v>
      </c>
      <c r="F153" s="82">
        <f>0.15*D153</f>
        <v>4770</v>
      </c>
      <c r="G153" s="56" t="s">
        <v>40</v>
      </c>
      <c r="H153" s="83" t="s">
        <v>92</v>
      </c>
    </row>
    <row r="154" spans="2:8" ht="22.5" x14ac:dyDescent="0.25">
      <c r="B154" s="48" t="s">
        <v>361</v>
      </c>
      <c r="C154" s="54" t="s">
        <v>362</v>
      </c>
      <c r="D154" s="151">
        <v>7200</v>
      </c>
      <c r="E154" s="148">
        <v>6</v>
      </c>
      <c r="F154" s="82">
        <f>2.2*D154</f>
        <v>15840.000000000002</v>
      </c>
      <c r="G154" s="56" t="s">
        <v>18</v>
      </c>
      <c r="H154" s="83" t="s">
        <v>355</v>
      </c>
    </row>
    <row r="155" spans="2:8" ht="21" x14ac:dyDescent="0.25">
      <c r="B155" s="57"/>
      <c r="C155" s="54" t="s">
        <v>363</v>
      </c>
      <c r="D155" s="152"/>
      <c r="E155" s="148">
        <v>6</v>
      </c>
      <c r="F155" s="82">
        <f>3*D154</f>
        <v>21600</v>
      </c>
      <c r="G155" s="56" t="s">
        <v>364</v>
      </c>
      <c r="H155" s="83" t="s">
        <v>38</v>
      </c>
    </row>
    <row r="156" spans="2:8" ht="57.75" x14ac:dyDescent="0.25">
      <c r="B156" s="89" t="s">
        <v>365</v>
      </c>
      <c r="C156" s="78" t="s">
        <v>165</v>
      </c>
      <c r="D156" s="153">
        <v>30720</v>
      </c>
      <c r="E156" s="148">
        <v>6</v>
      </c>
      <c r="F156" s="84">
        <f>0.5*D156</f>
        <v>15360</v>
      </c>
      <c r="G156" s="80" t="s">
        <v>229</v>
      </c>
      <c r="H156" s="85" t="s">
        <v>366</v>
      </c>
    </row>
    <row r="157" spans="2:8" ht="36" x14ac:dyDescent="0.25">
      <c r="B157" s="90"/>
      <c r="C157" s="78" t="s">
        <v>165</v>
      </c>
      <c r="D157" s="167"/>
      <c r="E157" s="148">
        <v>6</v>
      </c>
      <c r="F157" s="84">
        <f>0.5*D156</f>
        <v>15360</v>
      </c>
      <c r="G157" s="80" t="s">
        <v>201</v>
      </c>
      <c r="H157" s="85" t="s">
        <v>367</v>
      </c>
    </row>
    <row r="158" spans="2:8" ht="36" x14ac:dyDescent="0.25">
      <c r="B158" s="91"/>
      <c r="C158" s="78" t="s">
        <v>344</v>
      </c>
      <c r="D158" s="168"/>
      <c r="E158" s="148">
        <v>6</v>
      </c>
      <c r="F158" s="84">
        <f>0.3*D156</f>
        <v>9216</v>
      </c>
      <c r="G158" s="80" t="s">
        <v>202</v>
      </c>
      <c r="H158" s="85" t="s">
        <v>368</v>
      </c>
    </row>
    <row r="159" spans="2:8" ht="21" x14ac:dyDescent="0.2">
      <c r="B159" s="174" t="s">
        <v>369</v>
      </c>
      <c r="C159" s="175"/>
      <c r="D159" s="175"/>
      <c r="E159" s="175"/>
      <c r="F159" s="175"/>
      <c r="G159" s="175"/>
      <c r="H159" s="176"/>
    </row>
    <row r="160" spans="2:8" ht="36" x14ac:dyDescent="0.25">
      <c r="B160" s="48" t="s">
        <v>370</v>
      </c>
      <c r="C160" s="54" t="s">
        <v>141</v>
      </c>
      <c r="D160" s="153">
        <v>5610</v>
      </c>
      <c r="E160" s="149">
        <v>6</v>
      </c>
      <c r="F160" s="82">
        <f>1*D160</f>
        <v>5610</v>
      </c>
      <c r="G160" s="56" t="s">
        <v>203</v>
      </c>
      <c r="H160" s="56" t="s">
        <v>371</v>
      </c>
    </row>
    <row r="161" spans="2:8" ht="36" x14ac:dyDescent="0.25">
      <c r="B161" s="52"/>
      <c r="C161" s="54" t="s">
        <v>141</v>
      </c>
      <c r="D161" s="157"/>
      <c r="E161" s="149">
        <v>6</v>
      </c>
      <c r="F161" s="82">
        <f>1*D160</f>
        <v>5610</v>
      </c>
      <c r="G161" s="56" t="s">
        <v>201</v>
      </c>
      <c r="H161" s="56" t="s">
        <v>372</v>
      </c>
    </row>
    <row r="162" spans="2:8" ht="21" x14ac:dyDescent="0.25">
      <c r="B162" s="52"/>
      <c r="C162" s="54" t="s">
        <v>373</v>
      </c>
      <c r="D162" s="157"/>
      <c r="E162" s="149">
        <v>6</v>
      </c>
      <c r="F162" s="82">
        <f>0.6*D160</f>
        <v>3366</v>
      </c>
      <c r="G162" s="56" t="s">
        <v>202</v>
      </c>
      <c r="H162" s="56" t="s">
        <v>374</v>
      </c>
    </row>
    <row r="163" spans="2:8" ht="21" x14ac:dyDescent="0.25">
      <c r="B163" s="52"/>
      <c r="C163" s="54" t="s">
        <v>373</v>
      </c>
      <c r="D163" s="157"/>
      <c r="E163" s="149">
        <v>6</v>
      </c>
      <c r="F163" s="82">
        <f>0.6*D160</f>
        <v>3366</v>
      </c>
      <c r="G163" s="56" t="s">
        <v>180</v>
      </c>
      <c r="H163" s="56" t="s">
        <v>375</v>
      </c>
    </row>
    <row r="164" spans="2:8" ht="36" x14ac:dyDescent="0.25">
      <c r="B164" s="57"/>
      <c r="C164" s="54" t="s">
        <v>189</v>
      </c>
      <c r="D164" s="152"/>
      <c r="E164" s="149">
        <v>6</v>
      </c>
      <c r="F164" s="82">
        <f>0.8*D160</f>
        <v>4488</v>
      </c>
      <c r="G164" s="56" t="s">
        <v>376</v>
      </c>
      <c r="H164" s="56" t="s">
        <v>377</v>
      </c>
    </row>
    <row r="165" spans="2:8" ht="20.25" customHeight="1" x14ac:dyDescent="0.25">
      <c r="B165" s="48" t="s">
        <v>378</v>
      </c>
      <c r="C165" s="54" t="s">
        <v>64</v>
      </c>
      <c r="D165" s="151">
        <v>22200</v>
      </c>
      <c r="E165" s="149">
        <v>6</v>
      </c>
      <c r="F165" s="82">
        <f>0.08*D165</f>
        <v>1776</v>
      </c>
      <c r="G165" s="56" t="s">
        <v>14</v>
      </c>
      <c r="H165" s="56" t="s">
        <v>41</v>
      </c>
    </row>
    <row r="166" spans="2:8" ht="21" x14ac:dyDescent="0.25">
      <c r="B166" s="52"/>
      <c r="C166" s="54" t="s">
        <v>161</v>
      </c>
      <c r="D166" s="157"/>
      <c r="E166" s="149">
        <v>6</v>
      </c>
      <c r="F166" s="82">
        <f>0.08*D165</f>
        <v>1776</v>
      </c>
      <c r="G166" s="56" t="s">
        <v>14</v>
      </c>
      <c r="H166" s="56" t="s">
        <v>43</v>
      </c>
    </row>
    <row r="167" spans="2:8" ht="36" x14ac:dyDescent="0.25">
      <c r="B167" s="52"/>
      <c r="C167" s="54" t="s">
        <v>160</v>
      </c>
      <c r="D167" s="157"/>
      <c r="E167" s="149">
        <v>6</v>
      </c>
      <c r="F167" s="82">
        <f>0.1*D165</f>
        <v>2220</v>
      </c>
      <c r="G167" s="56" t="s">
        <v>1</v>
      </c>
      <c r="H167" s="56" t="s">
        <v>93</v>
      </c>
    </row>
    <row r="168" spans="2:8" ht="36" x14ac:dyDescent="0.25">
      <c r="B168" s="52"/>
      <c r="C168" s="54" t="s">
        <v>64</v>
      </c>
      <c r="D168" s="157"/>
      <c r="E168" s="149">
        <v>6</v>
      </c>
      <c r="F168" s="82">
        <f>0.08*D165</f>
        <v>1776</v>
      </c>
      <c r="G168" s="56" t="s">
        <v>1</v>
      </c>
      <c r="H168" s="56" t="s">
        <v>379</v>
      </c>
    </row>
    <row r="169" spans="2:8" ht="21" x14ac:dyDescent="0.25">
      <c r="B169" s="52"/>
      <c r="C169" s="54" t="s">
        <v>64</v>
      </c>
      <c r="D169" s="157"/>
      <c r="E169" s="149">
        <v>6</v>
      </c>
      <c r="F169" s="82">
        <f>0.08*D165</f>
        <v>1776</v>
      </c>
      <c r="G169" s="56" t="s">
        <v>2</v>
      </c>
      <c r="H169" s="56" t="s">
        <v>43</v>
      </c>
    </row>
    <row r="170" spans="2:8" ht="21" x14ac:dyDescent="0.25">
      <c r="B170" s="52"/>
      <c r="C170" s="54" t="s">
        <v>159</v>
      </c>
      <c r="D170" s="157"/>
      <c r="E170" s="149">
        <v>6</v>
      </c>
      <c r="F170" s="82">
        <f>0.06*D165</f>
        <v>1332</v>
      </c>
      <c r="G170" s="56" t="s">
        <v>44</v>
      </c>
      <c r="H170" s="56" t="s">
        <v>94</v>
      </c>
    </row>
    <row r="171" spans="2:8" ht="36" x14ac:dyDescent="0.25">
      <c r="B171" s="52"/>
      <c r="C171" s="54" t="s">
        <v>198</v>
      </c>
      <c r="D171" s="157"/>
      <c r="E171" s="149">
        <v>6</v>
      </c>
      <c r="F171" s="82">
        <f>0.12*D165</f>
        <v>2664</v>
      </c>
      <c r="G171" s="56" t="s">
        <v>132</v>
      </c>
      <c r="H171" s="56" t="s">
        <v>380</v>
      </c>
    </row>
    <row r="172" spans="2:8" ht="21" x14ac:dyDescent="0.25">
      <c r="B172" s="52"/>
      <c r="C172" s="54" t="s">
        <v>42</v>
      </c>
      <c r="D172" s="157"/>
      <c r="E172" s="149">
        <v>6</v>
      </c>
      <c r="F172" s="82">
        <f>0.08*D165</f>
        <v>1776</v>
      </c>
      <c r="G172" s="56" t="s">
        <v>18</v>
      </c>
      <c r="H172" s="56" t="s">
        <v>45</v>
      </c>
    </row>
    <row r="173" spans="2:8" ht="21" x14ac:dyDescent="0.25">
      <c r="B173" s="52"/>
      <c r="C173" s="54" t="s">
        <v>156</v>
      </c>
      <c r="D173" s="157"/>
      <c r="E173" s="149">
        <v>6</v>
      </c>
      <c r="F173" s="82">
        <f>0.1*D165</f>
        <v>2220</v>
      </c>
      <c r="G173" s="56" t="s">
        <v>35</v>
      </c>
      <c r="H173" s="56" t="s">
        <v>46</v>
      </c>
    </row>
    <row r="174" spans="2:8" ht="21" x14ac:dyDescent="0.25">
      <c r="B174" s="52"/>
      <c r="C174" s="60" t="s">
        <v>156</v>
      </c>
      <c r="D174" s="157"/>
      <c r="E174" s="149">
        <v>6</v>
      </c>
      <c r="F174" s="86">
        <f>0.1*D165</f>
        <v>2220</v>
      </c>
      <c r="G174" s="71" t="s">
        <v>12</v>
      </c>
      <c r="H174" s="71" t="s">
        <v>47</v>
      </c>
    </row>
    <row r="175" spans="2:8" ht="21" x14ac:dyDescent="0.25">
      <c r="B175" s="52"/>
      <c r="C175" s="54" t="s">
        <v>156</v>
      </c>
      <c r="D175" s="157"/>
      <c r="E175" s="149">
        <v>6</v>
      </c>
      <c r="F175" s="82">
        <f>0.1*D165</f>
        <v>2220</v>
      </c>
      <c r="G175" s="56" t="s">
        <v>48</v>
      </c>
      <c r="H175" s="56" t="s">
        <v>49</v>
      </c>
    </row>
    <row r="176" spans="2:8" ht="36" x14ac:dyDescent="0.25">
      <c r="B176" s="52"/>
      <c r="C176" s="54" t="s">
        <v>156</v>
      </c>
      <c r="D176" s="157"/>
      <c r="E176" s="149">
        <v>6</v>
      </c>
      <c r="F176" s="82">
        <f>0.1*D165</f>
        <v>2220</v>
      </c>
      <c r="G176" s="56" t="s">
        <v>50</v>
      </c>
      <c r="H176" s="56" t="s">
        <v>95</v>
      </c>
    </row>
    <row r="177" spans="2:9" ht="21" x14ac:dyDescent="0.25">
      <c r="B177" s="52"/>
      <c r="C177" s="81">
        <v>0.3</v>
      </c>
      <c r="D177" s="157"/>
      <c r="E177" s="149">
        <v>6</v>
      </c>
      <c r="F177" s="87">
        <f>0.3*D165</f>
        <v>6660</v>
      </c>
      <c r="G177" s="62" t="s">
        <v>40</v>
      </c>
      <c r="H177" s="62" t="s">
        <v>381</v>
      </c>
    </row>
    <row r="178" spans="2:9" ht="21" x14ac:dyDescent="0.25">
      <c r="B178" s="52"/>
      <c r="C178" s="54">
        <v>0.3</v>
      </c>
      <c r="D178" s="157"/>
      <c r="E178" s="149">
        <v>6</v>
      </c>
      <c r="F178" s="82">
        <f>0.3*D165</f>
        <v>6660</v>
      </c>
      <c r="G178" s="56" t="s">
        <v>51</v>
      </c>
      <c r="H178" s="56" t="s">
        <v>52</v>
      </c>
    </row>
    <row r="179" spans="2:9" ht="54" x14ac:dyDescent="0.25">
      <c r="B179" s="57"/>
      <c r="C179" s="60" t="s">
        <v>156</v>
      </c>
      <c r="D179" s="152"/>
      <c r="E179" s="149">
        <v>6</v>
      </c>
      <c r="F179" s="86">
        <f>0.1*D165</f>
        <v>2220</v>
      </c>
      <c r="G179" s="71" t="s">
        <v>96</v>
      </c>
      <c r="H179" s="71" t="s">
        <v>97</v>
      </c>
      <c r="I179" s="88"/>
    </row>
    <row r="180" spans="2:9" ht="20.25" customHeight="1" x14ac:dyDescent="0.25">
      <c r="B180" s="48" t="s">
        <v>382</v>
      </c>
      <c r="C180" s="54" t="s">
        <v>156</v>
      </c>
      <c r="D180" s="151">
        <v>24300</v>
      </c>
      <c r="E180" s="149">
        <v>6</v>
      </c>
      <c r="F180" s="82">
        <f>0.1*D180</f>
        <v>2430</v>
      </c>
      <c r="G180" s="71" t="s">
        <v>148</v>
      </c>
      <c r="H180" s="56" t="s">
        <v>149</v>
      </c>
      <c r="I180" s="88"/>
    </row>
    <row r="181" spans="2:9" ht="21" x14ac:dyDescent="0.25">
      <c r="B181" s="52"/>
      <c r="C181" s="54" t="s">
        <v>157</v>
      </c>
      <c r="D181" s="157"/>
      <c r="E181" s="149">
        <v>6</v>
      </c>
      <c r="F181" s="82">
        <f>0.1*D180</f>
        <v>2430</v>
      </c>
      <c r="G181" s="62"/>
      <c r="H181" s="56" t="s">
        <v>199</v>
      </c>
      <c r="I181" s="88"/>
    </row>
    <row r="182" spans="2:9" ht="21" x14ac:dyDescent="0.25">
      <c r="B182" s="52"/>
      <c r="C182" s="54">
        <v>0.1</v>
      </c>
      <c r="D182" s="157"/>
      <c r="E182" s="149">
        <v>6</v>
      </c>
      <c r="F182" s="82">
        <f>C182*D180</f>
        <v>2430</v>
      </c>
      <c r="G182" s="71" t="s">
        <v>55</v>
      </c>
      <c r="H182" s="56" t="s">
        <v>177</v>
      </c>
      <c r="I182" s="88"/>
    </row>
    <row r="183" spans="2:9" ht="21" x14ac:dyDescent="0.25">
      <c r="B183" s="52"/>
      <c r="C183" s="54" t="s">
        <v>164</v>
      </c>
      <c r="D183" s="157"/>
      <c r="E183" s="149">
        <v>6</v>
      </c>
      <c r="F183" s="82">
        <f>0.15*D180</f>
        <v>3645</v>
      </c>
      <c r="G183" s="62"/>
      <c r="H183" s="56" t="s">
        <v>383</v>
      </c>
      <c r="I183" s="88"/>
    </row>
    <row r="184" spans="2:9" ht="36" x14ac:dyDescent="0.25">
      <c r="B184" s="52"/>
      <c r="C184" s="54" t="s">
        <v>156</v>
      </c>
      <c r="D184" s="157"/>
      <c r="E184" s="149">
        <v>6</v>
      </c>
      <c r="F184" s="82">
        <f>0.1*D180</f>
        <v>2430</v>
      </c>
      <c r="G184" s="62" t="s">
        <v>258</v>
      </c>
      <c r="H184" s="56" t="s">
        <v>384</v>
      </c>
      <c r="I184" s="88"/>
    </row>
    <row r="185" spans="2:9" ht="21" x14ac:dyDescent="0.25">
      <c r="B185" s="57"/>
      <c r="C185" s="54" t="s">
        <v>178</v>
      </c>
      <c r="D185" s="152"/>
      <c r="E185" s="149">
        <v>6</v>
      </c>
      <c r="F185" s="82">
        <f>0.4*D180</f>
        <v>9720</v>
      </c>
      <c r="G185" s="62" t="s">
        <v>40</v>
      </c>
      <c r="H185" s="56" t="s">
        <v>179</v>
      </c>
    </row>
    <row r="186" spans="2:9" ht="22.5" x14ac:dyDescent="0.25">
      <c r="B186" s="48" t="s">
        <v>385</v>
      </c>
      <c r="C186" s="54">
        <v>7.4999999999999997E-2</v>
      </c>
      <c r="D186" s="153">
        <v>16680</v>
      </c>
      <c r="E186" s="149">
        <v>6</v>
      </c>
      <c r="F186" s="55">
        <f>C186*D186</f>
        <v>1251</v>
      </c>
      <c r="G186" s="56" t="s">
        <v>1</v>
      </c>
      <c r="H186" s="83" t="s">
        <v>386</v>
      </c>
    </row>
    <row r="187" spans="2:9" ht="21" x14ac:dyDescent="0.25">
      <c r="B187" s="52"/>
      <c r="C187" s="54" t="s">
        <v>158</v>
      </c>
      <c r="D187" s="157"/>
      <c r="E187" s="149">
        <v>6</v>
      </c>
      <c r="F187" s="55">
        <f>0.075*D186</f>
        <v>1251</v>
      </c>
      <c r="G187" s="56" t="s">
        <v>1</v>
      </c>
      <c r="H187" s="56" t="s">
        <v>387</v>
      </c>
    </row>
    <row r="188" spans="2:9" ht="21" x14ac:dyDescent="0.25">
      <c r="B188" s="52"/>
      <c r="C188" s="54">
        <v>0.1</v>
      </c>
      <c r="D188" s="157"/>
      <c r="E188" s="149">
        <v>6</v>
      </c>
      <c r="F188" s="55">
        <f>0.1*D186</f>
        <v>1668</v>
      </c>
      <c r="G188" s="56" t="s">
        <v>1</v>
      </c>
      <c r="H188" s="56" t="s">
        <v>53</v>
      </c>
    </row>
    <row r="189" spans="2:9" ht="36" x14ac:dyDescent="0.25">
      <c r="B189" s="52"/>
      <c r="C189" s="54">
        <v>0.25</v>
      </c>
      <c r="D189" s="157"/>
      <c r="E189" s="149">
        <v>6</v>
      </c>
      <c r="F189" s="55">
        <f>0.25*D186</f>
        <v>4170</v>
      </c>
      <c r="G189" s="56" t="s">
        <v>54</v>
      </c>
      <c r="H189" s="56" t="s">
        <v>388</v>
      </c>
    </row>
    <row r="190" spans="2:9" ht="36" x14ac:dyDescent="0.25">
      <c r="B190" s="52"/>
      <c r="C190" s="54" t="s">
        <v>153</v>
      </c>
      <c r="D190" s="157"/>
      <c r="E190" s="149">
        <v>6</v>
      </c>
      <c r="F190" s="82">
        <f>0.2*D186</f>
        <v>3336</v>
      </c>
      <c r="G190" s="56" t="s">
        <v>40</v>
      </c>
      <c r="H190" s="56" t="s">
        <v>134</v>
      </c>
    </row>
    <row r="191" spans="2:9" ht="36" x14ac:dyDescent="0.25">
      <c r="B191" s="52"/>
      <c r="C191" s="54">
        <v>0.2</v>
      </c>
      <c r="D191" s="157"/>
      <c r="E191" s="149">
        <v>6</v>
      </c>
      <c r="F191" s="55">
        <f>0.2*D186</f>
        <v>3336</v>
      </c>
      <c r="G191" s="56" t="s">
        <v>16</v>
      </c>
      <c r="H191" s="56" t="s">
        <v>389</v>
      </c>
    </row>
    <row r="192" spans="2:9" ht="21" x14ac:dyDescent="0.25">
      <c r="B192" s="52"/>
      <c r="C192" s="54" t="s">
        <v>154</v>
      </c>
      <c r="D192" s="157"/>
      <c r="E192" s="149">
        <v>6</v>
      </c>
      <c r="F192" s="82">
        <f>0.05*D186</f>
        <v>834</v>
      </c>
      <c r="G192" s="56" t="s">
        <v>55</v>
      </c>
      <c r="H192" s="56" t="s">
        <v>94</v>
      </c>
    </row>
    <row r="193" spans="2:8" ht="36" x14ac:dyDescent="0.25">
      <c r="B193" s="52"/>
      <c r="C193" s="60" t="s">
        <v>154</v>
      </c>
      <c r="D193" s="157"/>
      <c r="E193" s="149">
        <v>6</v>
      </c>
      <c r="F193" s="86">
        <f>0.05*D186</f>
        <v>834</v>
      </c>
      <c r="G193" s="71" t="s">
        <v>98</v>
      </c>
      <c r="H193" s="71" t="s">
        <v>390</v>
      </c>
    </row>
    <row r="194" spans="2:8" ht="21" x14ac:dyDescent="0.25">
      <c r="B194" s="57"/>
      <c r="C194" s="81"/>
      <c r="D194" s="152"/>
      <c r="E194" s="149">
        <v>6</v>
      </c>
      <c r="F194" s="87"/>
      <c r="G194" s="62"/>
      <c r="H194" s="62"/>
    </row>
    <row r="195" spans="2:8" ht="20.25" customHeight="1" x14ac:dyDescent="0.25">
      <c r="B195" s="48" t="s">
        <v>391</v>
      </c>
      <c r="C195" s="54">
        <v>0.04</v>
      </c>
      <c r="D195" s="153">
        <v>18870</v>
      </c>
      <c r="E195" s="149">
        <v>6</v>
      </c>
      <c r="F195" s="55">
        <f>C195*D195</f>
        <v>754.80000000000007</v>
      </c>
      <c r="G195" s="56" t="s">
        <v>1</v>
      </c>
      <c r="H195" s="56" t="s">
        <v>56</v>
      </c>
    </row>
    <row r="196" spans="2:8" ht="21" x14ac:dyDescent="0.25">
      <c r="B196" s="52"/>
      <c r="C196" s="54">
        <v>0.2</v>
      </c>
      <c r="D196" s="157"/>
      <c r="E196" s="149">
        <v>6</v>
      </c>
      <c r="F196" s="82">
        <f>C196*D195</f>
        <v>3774</v>
      </c>
      <c r="G196" s="56" t="s">
        <v>40</v>
      </c>
      <c r="H196" s="56" t="s">
        <v>99</v>
      </c>
    </row>
    <row r="197" spans="2:8" ht="21" x14ac:dyDescent="0.25">
      <c r="B197" s="52"/>
      <c r="C197" s="54">
        <v>0.1</v>
      </c>
      <c r="D197" s="157"/>
      <c r="E197" s="149">
        <v>6</v>
      </c>
      <c r="F197" s="55">
        <f>C197*D195</f>
        <v>1887</v>
      </c>
      <c r="G197" s="56" t="s">
        <v>392</v>
      </c>
      <c r="H197" s="56" t="s">
        <v>57</v>
      </c>
    </row>
    <row r="198" spans="2:8" ht="21" x14ac:dyDescent="0.25">
      <c r="B198" s="52"/>
      <c r="C198" s="54">
        <v>0.2</v>
      </c>
      <c r="D198" s="157"/>
      <c r="E198" s="149">
        <v>6</v>
      </c>
      <c r="F198" s="55">
        <f>C198*D195</f>
        <v>3774</v>
      </c>
      <c r="G198" s="56" t="s">
        <v>54</v>
      </c>
      <c r="H198" s="56" t="s">
        <v>58</v>
      </c>
    </row>
    <row r="199" spans="2:8" ht="36" x14ac:dyDescent="0.25">
      <c r="B199" s="57"/>
      <c r="C199" s="54">
        <v>0.04</v>
      </c>
      <c r="D199" s="152"/>
      <c r="E199" s="149">
        <v>6</v>
      </c>
      <c r="F199" s="55">
        <f>C199*D195</f>
        <v>754.80000000000007</v>
      </c>
      <c r="G199" s="56" t="s">
        <v>100</v>
      </c>
      <c r="H199" s="56" t="s">
        <v>393</v>
      </c>
    </row>
    <row r="200" spans="2:8" ht="22.5" x14ac:dyDescent="0.25">
      <c r="B200" s="89" t="s">
        <v>394</v>
      </c>
      <c r="C200" s="78" t="s">
        <v>141</v>
      </c>
      <c r="D200" s="153">
        <v>6000</v>
      </c>
      <c r="E200" s="149">
        <v>6</v>
      </c>
      <c r="F200" s="79">
        <f>1*D200</f>
        <v>6000</v>
      </c>
      <c r="G200" s="80" t="s">
        <v>1</v>
      </c>
      <c r="H200" s="80" t="s">
        <v>175</v>
      </c>
    </row>
    <row r="201" spans="2:8" ht="36" x14ac:dyDescent="0.25">
      <c r="B201" s="90"/>
      <c r="C201" s="78" t="s">
        <v>69</v>
      </c>
      <c r="D201" s="167"/>
      <c r="E201" s="149">
        <v>6</v>
      </c>
      <c r="F201" s="79">
        <f>0.8*D200</f>
        <v>4800</v>
      </c>
      <c r="G201" s="80" t="s">
        <v>55</v>
      </c>
      <c r="H201" s="80" t="s">
        <v>194</v>
      </c>
    </row>
    <row r="202" spans="2:8" ht="36" x14ac:dyDescent="0.25">
      <c r="B202" s="90"/>
      <c r="C202" s="78" t="s">
        <v>195</v>
      </c>
      <c r="D202" s="167"/>
      <c r="E202" s="149">
        <v>6</v>
      </c>
      <c r="F202" s="79">
        <f>0.5*D200</f>
        <v>3000</v>
      </c>
      <c r="G202" s="80" t="s">
        <v>258</v>
      </c>
      <c r="H202" s="80" t="s">
        <v>395</v>
      </c>
    </row>
    <row r="203" spans="2:8" ht="21" x14ac:dyDescent="0.25">
      <c r="B203" s="91"/>
      <c r="C203" s="78">
        <v>1.4</v>
      </c>
      <c r="D203" s="168"/>
      <c r="E203" s="149">
        <v>6</v>
      </c>
      <c r="F203" s="79">
        <f>C203*D200</f>
        <v>8400</v>
      </c>
      <c r="G203" s="80" t="s">
        <v>40</v>
      </c>
      <c r="H203" s="80" t="s">
        <v>176</v>
      </c>
    </row>
    <row r="204" spans="2:8" ht="22.5" x14ac:dyDescent="0.25">
      <c r="B204" s="48" t="s">
        <v>396</v>
      </c>
      <c r="C204" s="54" t="s">
        <v>262</v>
      </c>
      <c r="D204" s="151">
        <v>7800</v>
      </c>
      <c r="E204" s="149">
        <v>6</v>
      </c>
      <c r="F204" s="55">
        <f>0.5*D204</f>
        <v>3900</v>
      </c>
      <c r="G204" s="56" t="s">
        <v>116</v>
      </c>
      <c r="H204" s="56" t="s">
        <v>397</v>
      </c>
    </row>
    <row r="205" spans="2:8" ht="21" x14ac:dyDescent="0.25">
      <c r="B205" s="52"/>
      <c r="C205" s="54" t="s">
        <v>262</v>
      </c>
      <c r="D205" s="157"/>
      <c r="E205" s="149">
        <v>6</v>
      </c>
      <c r="F205" s="55">
        <f>0.5*D204</f>
        <v>3900</v>
      </c>
      <c r="G205" s="56" t="s">
        <v>55</v>
      </c>
      <c r="H205" s="56" t="s">
        <v>398</v>
      </c>
    </row>
    <row r="206" spans="2:8" ht="21" x14ac:dyDescent="0.25">
      <c r="B206" s="52"/>
      <c r="C206" s="54" t="s">
        <v>109</v>
      </c>
      <c r="D206" s="157"/>
      <c r="E206" s="149">
        <v>6</v>
      </c>
      <c r="F206" s="55">
        <f>0.2*D204</f>
        <v>1560</v>
      </c>
      <c r="G206" s="56" t="s">
        <v>399</v>
      </c>
      <c r="H206" s="56" t="s">
        <v>53</v>
      </c>
    </row>
    <row r="207" spans="2:8" ht="21" x14ac:dyDescent="0.25">
      <c r="B207" s="52"/>
      <c r="C207" s="54">
        <v>0.2</v>
      </c>
      <c r="D207" s="157"/>
      <c r="E207" s="149">
        <v>6</v>
      </c>
      <c r="F207" s="55">
        <f>C207*D204</f>
        <v>1560</v>
      </c>
      <c r="G207" s="56" t="s">
        <v>50</v>
      </c>
      <c r="H207" s="56" t="s">
        <v>400</v>
      </c>
    </row>
    <row r="208" spans="2:8" ht="21" x14ac:dyDescent="0.25">
      <c r="B208" s="57"/>
      <c r="C208" s="54">
        <v>0.5</v>
      </c>
      <c r="D208" s="152"/>
      <c r="E208" s="149">
        <v>6</v>
      </c>
      <c r="F208" s="55">
        <f>C208*D204</f>
        <v>3900</v>
      </c>
      <c r="G208" s="56" t="s">
        <v>54</v>
      </c>
      <c r="H208" s="56" t="s">
        <v>401</v>
      </c>
    </row>
    <row r="209" spans="2:8" ht="20.25" customHeight="1" x14ac:dyDescent="0.25">
      <c r="B209" s="48" t="s">
        <v>402</v>
      </c>
      <c r="C209" s="71" t="s">
        <v>152</v>
      </c>
      <c r="D209" s="151">
        <v>18000</v>
      </c>
      <c r="E209" s="149">
        <v>6</v>
      </c>
      <c r="F209" s="126">
        <f>0.05*D209</f>
        <v>900</v>
      </c>
      <c r="G209" s="71" t="s">
        <v>101</v>
      </c>
      <c r="H209" s="71" t="s">
        <v>403</v>
      </c>
    </row>
    <row r="210" spans="2:8" ht="21" x14ac:dyDescent="0.25">
      <c r="B210" s="52"/>
      <c r="C210" s="65"/>
      <c r="D210" s="157"/>
      <c r="E210" s="149">
        <v>6</v>
      </c>
      <c r="F210" s="129"/>
      <c r="G210" s="65"/>
      <c r="H210" s="65"/>
    </row>
    <row r="211" spans="2:8" ht="21" x14ac:dyDescent="0.25">
      <c r="B211" s="52"/>
      <c r="C211" s="62"/>
      <c r="D211" s="157"/>
      <c r="E211" s="149">
        <v>6</v>
      </c>
      <c r="F211" s="128"/>
      <c r="G211" s="62"/>
      <c r="H211" s="62"/>
    </row>
    <row r="212" spans="2:8" ht="21" x14ac:dyDescent="0.25">
      <c r="B212" s="57"/>
      <c r="C212" s="54" t="s">
        <v>152</v>
      </c>
      <c r="D212" s="152"/>
      <c r="E212" s="149">
        <v>6</v>
      </c>
      <c r="F212" s="82">
        <f>0.05*D209</f>
        <v>900</v>
      </c>
      <c r="G212" s="56" t="s">
        <v>18</v>
      </c>
      <c r="H212" s="56" t="s">
        <v>45</v>
      </c>
    </row>
    <row r="213" spans="2:8" ht="20.25" customHeight="1" x14ac:dyDescent="0.25">
      <c r="B213" s="48" t="s">
        <v>404</v>
      </c>
      <c r="C213" s="71">
        <v>0.2</v>
      </c>
      <c r="D213" s="153">
        <v>7920</v>
      </c>
      <c r="E213" s="149">
        <v>6</v>
      </c>
      <c r="F213" s="126">
        <f>C213*D213</f>
        <v>1584</v>
      </c>
      <c r="G213" s="71" t="s">
        <v>166</v>
      </c>
      <c r="H213" s="71" t="s">
        <v>405</v>
      </c>
    </row>
    <row r="214" spans="2:8" ht="21" x14ac:dyDescent="0.25">
      <c r="B214" s="52"/>
      <c r="C214" s="65"/>
      <c r="D214" s="157"/>
      <c r="E214" s="149">
        <v>6</v>
      </c>
      <c r="F214" s="129"/>
      <c r="G214" s="65"/>
      <c r="H214" s="65"/>
    </row>
    <row r="215" spans="2:8" ht="21" x14ac:dyDescent="0.25">
      <c r="B215" s="52"/>
      <c r="C215" s="62"/>
      <c r="D215" s="157"/>
      <c r="E215" s="149">
        <v>6</v>
      </c>
      <c r="F215" s="128"/>
      <c r="G215" s="62"/>
      <c r="H215" s="62"/>
    </row>
    <row r="216" spans="2:8" ht="21" x14ac:dyDescent="0.25">
      <c r="B216" s="52"/>
      <c r="C216" s="54" t="s">
        <v>155</v>
      </c>
      <c r="D216" s="157"/>
      <c r="E216" s="149">
        <v>6</v>
      </c>
      <c r="F216" s="82">
        <f>0.16*D213</f>
        <v>1267.2</v>
      </c>
      <c r="G216" s="56" t="s">
        <v>40</v>
      </c>
      <c r="H216" s="56" t="s">
        <v>102</v>
      </c>
    </row>
    <row r="217" spans="2:8" ht="21" x14ac:dyDescent="0.25">
      <c r="B217" s="52"/>
      <c r="C217" s="54">
        <v>0.32</v>
      </c>
      <c r="D217" s="157"/>
      <c r="E217" s="149">
        <v>6</v>
      </c>
      <c r="F217" s="82">
        <f>C217*D213</f>
        <v>2534.4</v>
      </c>
      <c r="G217" s="56" t="s">
        <v>6</v>
      </c>
      <c r="H217" s="56" t="s">
        <v>59</v>
      </c>
    </row>
    <row r="218" spans="2:8" ht="21" x14ac:dyDescent="0.25">
      <c r="B218" s="52"/>
      <c r="C218" s="54">
        <v>0.15</v>
      </c>
      <c r="D218" s="157"/>
      <c r="E218" s="149">
        <v>6</v>
      </c>
      <c r="F218" s="82">
        <f>C218*D213</f>
        <v>1188</v>
      </c>
      <c r="G218" s="56" t="s">
        <v>6</v>
      </c>
      <c r="H218" s="56" t="s">
        <v>103</v>
      </c>
    </row>
    <row r="219" spans="2:8" ht="21" x14ac:dyDescent="0.25">
      <c r="B219" s="52"/>
      <c r="C219" s="54" t="s">
        <v>157</v>
      </c>
      <c r="D219" s="157"/>
      <c r="E219" s="149">
        <v>6</v>
      </c>
      <c r="F219" s="82">
        <f>0.1*D213</f>
        <v>792</v>
      </c>
      <c r="G219" s="56" t="s">
        <v>60</v>
      </c>
      <c r="H219" s="56" t="s">
        <v>45</v>
      </c>
    </row>
    <row r="220" spans="2:8" ht="21" x14ac:dyDescent="0.25">
      <c r="B220" s="57"/>
      <c r="C220" s="54">
        <v>0.32</v>
      </c>
      <c r="D220" s="152"/>
      <c r="E220" s="149">
        <v>6</v>
      </c>
      <c r="F220" s="82">
        <f>0.32*D213</f>
        <v>2534.4</v>
      </c>
      <c r="G220" s="56" t="s">
        <v>54</v>
      </c>
      <c r="H220" s="56" t="s">
        <v>133</v>
      </c>
    </row>
    <row r="221" spans="2:8" ht="21" x14ac:dyDescent="0.2">
      <c r="B221" s="177" t="s">
        <v>61</v>
      </c>
      <c r="C221" s="178"/>
      <c r="D221" s="178"/>
      <c r="E221" s="178"/>
      <c r="F221" s="178"/>
      <c r="G221" s="178"/>
      <c r="H221" s="179"/>
    </row>
    <row r="222" spans="2:8" ht="39.75" x14ac:dyDescent="0.25">
      <c r="B222" s="58" t="s">
        <v>406</v>
      </c>
      <c r="C222" s="54" t="s">
        <v>156</v>
      </c>
      <c r="D222" s="169">
        <v>44400</v>
      </c>
      <c r="E222" s="75">
        <v>6</v>
      </c>
      <c r="F222" s="55">
        <f>0.1*D222</f>
        <v>4440</v>
      </c>
      <c r="G222" s="56" t="s">
        <v>54</v>
      </c>
      <c r="H222" s="83" t="s">
        <v>104</v>
      </c>
    </row>
    <row r="223" spans="2:8" ht="21" x14ac:dyDescent="0.2">
      <c r="B223" s="177" t="s">
        <v>62</v>
      </c>
      <c r="C223" s="178"/>
      <c r="D223" s="178"/>
      <c r="E223" s="178"/>
      <c r="F223" s="178"/>
      <c r="G223" s="178"/>
      <c r="H223" s="179"/>
    </row>
    <row r="224" spans="2:8" ht="72" x14ac:dyDescent="0.25">
      <c r="B224" s="58" t="s">
        <v>407</v>
      </c>
      <c r="C224" s="92" t="s">
        <v>408</v>
      </c>
      <c r="D224" s="169">
        <v>4200</v>
      </c>
      <c r="E224" s="75">
        <v>6</v>
      </c>
      <c r="F224" s="55">
        <f>0.1*D224</f>
        <v>420</v>
      </c>
      <c r="G224" s="71" t="s">
        <v>181</v>
      </c>
      <c r="H224" s="127" t="s">
        <v>105</v>
      </c>
    </row>
    <row r="225" spans="2:9" ht="72" x14ac:dyDescent="0.25">
      <c r="B225" s="58" t="s">
        <v>409</v>
      </c>
      <c r="C225" s="92" t="s">
        <v>408</v>
      </c>
      <c r="D225" s="170">
        <v>7380</v>
      </c>
      <c r="E225" s="75">
        <v>6</v>
      </c>
      <c r="F225" s="55">
        <f>0.1*D225</f>
        <v>738</v>
      </c>
      <c r="G225" s="65"/>
      <c r="H225" s="130"/>
    </row>
    <row r="226" spans="2:9" ht="75.75" x14ac:dyDescent="0.25">
      <c r="B226" s="58" t="s">
        <v>410</v>
      </c>
      <c r="C226" s="92" t="s">
        <v>411</v>
      </c>
      <c r="D226" s="169">
        <v>6900</v>
      </c>
      <c r="E226" s="75">
        <v>6</v>
      </c>
      <c r="F226" s="55">
        <f>0.25*D226</f>
        <v>1725</v>
      </c>
      <c r="G226" s="65"/>
      <c r="H226" s="130"/>
    </row>
    <row r="227" spans="2:9" ht="72" x14ac:dyDescent="0.25">
      <c r="B227" s="58" t="s">
        <v>412</v>
      </c>
      <c r="C227" s="92" t="s">
        <v>413</v>
      </c>
      <c r="D227" s="169">
        <v>21600</v>
      </c>
      <c r="E227" s="75">
        <v>6</v>
      </c>
      <c r="F227" s="55">
        <f>0.05*D227</f>
        <v>1080</v>
      </c>
      <c r="G227" s="62"/>
      <c r="H227" s="131"/>
    </row>
    <row r="228" spans="2:9" ht="21" x14ac:dyDescent="0.2">
      <c r="B228" s="177" t="s">
        <v>414</v>
      </c>
      <c r="C228" s="178"/>
      <c r="D228" s="178"/>
      <c r="E228" s="178"/>
      <c r="F228" s="178"/>
      <c r="G228" s="178"/>
      <c r="H228" s="179"/>
    </row>
    <row r="229" spans="2:9" ht="124.5" x14ac:dyDescent="0.25">
      <c r="B229" s="58" t="s">
        <v>415</v>
      </c>
      <c r="C229" s="54" t="s">
        <v>416</v>
      </c>
      <c r="D229" s="169">
        <v>1380</v>
      </c>
      <c r="E229" s="75">
        <v>6</v>
      </c>
      <c r="F229" s="55">
        <f>0.1*D229</f>
        <v>138</v>
      </c>
      <c r="G229" s="56" t="s">
        <v>417</v>
      </c>
      <c r="H229" s="56" t="s">
        <v>418</v>
      </c>
    </row>
    <row r="230" spans="2:9" ht="21" x14ac:dyDescent="0.2">
      <c r="B230" s="177" t="s">
        <v>204</v>
      </c>
      <c r="C230" s="178"/>
      <c r="D230" s="178"/>
      <c r="E230" s="178"/>
      <c r="F230" s="178"/>
      <c r="G230" s="178"/>
      <c r="H230" s="179"/>
      <c r="I230" s="93"/>
    </row>
    <row r="231" spans="2:9" s="93" customFormat="1" ht="75.75" x14ac:dyDescent="0.25">
      <c r="B231" s="56" t="s">
        <v>419</v>
      </c>
      <c r="C231" s="49">
        <v>1</v>
      </c>
      <c r="D231" s="169">
        <v>3300</v>
      </c>
      <c r="E231" s="75">
        <v>6</v>
      </c>
      <c r="F231" s="82">
        <f>C231*D231</f>
        <v>3300</v>
      </c>
      <c r="G231" s="56" t="s">
        <v>1</v>
      </c>
      <c r="H231" s="56" t="s">
        <v>420</v>
      </c>
      <c r="I231" s="24"/>
    </row>
    <row r="236" spans="2:9" ht="21.75" x14ac:dyDescent="0.2">
      <c r="B236" s="132"/>
      <c r="C236" s="132"/>
      <c r="D236" s="132"/>
      <c r="E236" s="132"/>
      <c r="G236" s="132"/>
      <c r="H236" s="132"/>
    </row>
  </sheetData>
  <autoFilter ref="B14:H40" xr:uid="{00000000-0009-0000-0000-000002000000}"/>
  <mergeCells count="11">
    <mergeCell ref="B221:H221"/>
    <mergeCell ref="B223:H223"/>
    <mergeCell ref="B228:H228"/>
    <mergeCell ref="B230:H230"/>
    <mergeCell ref="B2:C2"/>
    <mergeCell ref="B3:C3"/>
    <mergeCell ref="B4:C4"/>
    <mergeCell ref="B16:H16"/>
    <mergeCell ref="B42:H42"/>
    <mergeCell ref="B159:H159"/>
    <mergeCell ref="B124:H124"/>
  </mergeCells>
  <pageMargins left="0.70866141732283472" right="0.70866141732283472" top="0.74803149606299213" bottom="0.74803149606299213" header="0.31496062992125984" footer="0.31496062992125984"/>
  <pageSetup paperSize="9" scale="41" fitToHeight="6" orientation="portrait" r:id="rId1"/>
  <rowBreaks count="4" manualBreakCount="4">
    <brk id="53" max="13" man="1"/>
    <brk id="93" max="13" man="1"/>
    <brk id="158" max="13" man="1"/>
    <brk id="222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20"/>
  <sheetViews>
    <sheetView zoomScale="57" zoomScaleNormal="57" workbookViewId="0">
      <selection activeCell="G1" sqref="G1:H1048576"/>
    </sheetView>
  </sheetViews>
  <sheetFormatPr defaultRowHeight="30" customHeight="1" x14ac:dyDescent="0.2"/>
  <cols>
    <col min="1" max="1" width="40.7578125" customWidth="1"/>
    <col min="2" max="2" width="14.390625" customWidth="1"/>
    <col min="3" max="3" width="20.58203125" customWidth="1"/>
    <col min="4" max="4" width="14.9296875" customWidth="1"/>
    <col min="5" max="5" width="29.19140625" customWidth="1"/>
    <col min="6" max="6" width="36.05078125" customWidth="1"/>
  </cols>
  <sheetData>
    <row r="2" spans="1:6" ht="18.75" x14ac:dyDescent="0.25">
      <c r="A2" s="141" t="s">
        <v>423</v>
      </c>
    </row>
    <row r="5" spans="1:6" ht="18.75" x14ac:dyDescent="0.25">
      <c r="A5" s="141" t="s">
        <v>424</v>
      </c>
    </row>
    <row r="7" spans="1:6" ht="15" x14ac:dyDescent="0.2">
      <c r="A7" s="2"/>
      <c r="B7" s="1"/>
      <c r="C7" s="1"/>
      <c r="D7" s="3"/>
      <c r="E7" s="207" t="s">
        <v>425</v>
      </c>
      <c r="F7" s="208"/>
    </row>
    <row r="8" spans="1:6" ht="15" customHeight="1" x14ac:dyDescent="0.2">
      <c r="A8" s="210" t="s">
        <v>80</v>
      </c>
      <c r="B8" s="210" t="s">
        <v>117</v>
      </c>
      <c r="C8" s="210" t="s">
        <v>421</v>
      </c>
      <c r="D8" s="213" t="s">
        <v>422</v>
      </c>
      <c r="E8" s="210" t="s">
        <v>118</v>
      </c>
      <c r="F8" s="210" t="s">
        <v>81</v>
      </c>
    </row>
    <row r="9" spans="1:6" ht="15" customHeight="1" x14ac:dyDescent="0.2">
      <c r="A9" s="211"/>
      <c r="B9" s="211"/>
      <c r="C9" s="211"/>
      <c r="D9" s="214"/>
      <c r="E9" s="211"/>
      <c r="F9" s="211"/>
    </row>
    <row r="10" spans="1:6" ht="62.25" customHeight="1" x14ac:dyDescent="0.2">
      <c r="A10" s="212"/>
      <c r="B10" s="212"/>
      <c r="C10" s="212"/>
      <c r="D10" s="215"/>
      <c r="E10" s="212"/>
      <c r="F10" s="212"/>
    </row>
    <row r="11" spans="1:6" ht="18" x14ac:dyDescent="0.2">
      <c r="A11" s="97">
        <v>1</v>
      </c>
      <c r="B11" s="13">
        <v>2</v>
      </c>
      <c r="C11" s="97">
        <v>3</v>
      </c>
      <c r="D11" s="97">
        <v>4</v>
      </c>
      <c r="E11" s="97">
        <v>5</v>
      </c>
      <c r="F11" s="97">
        <v>6</v>
      </c>
    </row>
    <row r="12" spans="1:6" ht="18" x14ac:dyDescent="0.2">
      <c r="A12" s="194" t="s">
        <v>140</v>
      </c>
      <c r="B12" s="195"/>
      <c r="C12" s="195"/>
      <c r="D12" s="195"/>
      <c r="E12" s="195"/>
      <c r="F12" s="196"/>
    </row>
    <row r="13" spans="1:6" ht="15" x14ac:dyDescent="0.2">
      <c r="A13" s="197" t="s">
        <v>185</v>
      </c>
      <c r="B13" s="199" t="s">
        <v>125</v>
      </c>
      <c r="C13" s="216">
        <v>90000</v>
      </c>
      <c r="D13" s="203">
        <f>C13/30</f>
        <v>3000</v>
      </c>
      <c r="E13" s="205" t="s">
        <v>106</v>
      </c>
      <c r="F13" s="205" t="s">
        <v>83</v>
      </c>
    </row>
    <row r="14" spans="1:6" ht="50.25" customHeight="1" x14ac:dyDescent="0.2">
      <c r="A14" s="198"/>
      <c r="B14" s="200"/>
      <c r="C14" s="217"/>
      <c r="D14" s="204"/>
      <c r="E14" s="206"/>
      <c r="F14" s="206"/>
    </row>
    <row r="15" spans="1:6" ht="31.5" x14ac:dyDescent="0.2">
      <c r="A15" s="12" t="s">
        <v>170</v>
      </c>
      <c r="B15" s="4" t="s">
        <v>138</v>
      </c>
      <c r="C15" s="142">
        <v>51000</v>
      </c>
      <c r="D15" s="5">
        <f>C15/25</f>
        <v>2040</v>
      </c>
      <c r="E15" s="6" t="s">
        <v>106</v>
      </c>
      <c r="F15" s="6" t="s">
        <v>83</v>
      </c>
    </row>
    <row r="16" spans="1:6" ht="50.25" x14ac:dyDescent="0.2">
      <c r="A16" s="11" t="s">
        <v>186</v>
      </c>
      <c r="B16" s="13" t="s">
        <v>138</v>
      </c>
      <c r="C16" s="143">
        <v>60000</v>
      </c>
      <c r="D16" s="5">
        <f t="shared" ref="D16:D18" si="0">C16/25</f>
        <v>2400</v>
      </c>
      <c r="E16" s="10" t="s">
        <v>106</v>
      </c>
      <c r="F16" s="10" t="s">
        <v>83</v>
      </c>
    </row>
    <row r="17" spans="1:7" ht="56.25" customHeight="1" x14ac:dyDescent="0.2">
      <c r="A17" s="12" t="s">
        <v>187</v>
      </c>
      <c r="B17" s="4" t="s">
        <v>138</v>
      </c>
      <c r="C17" s="142">
        <v>93000</v>
      </c>
      <c r="D17" s="5">
        <f t="shared" si="0"/>
        <v>3720</v>
      </c>
      <c r="E17" s="6" t="s">
        <v>106</v>
      </c>
      <c r="F17" s="6" t="s">
        <v>83</v>
      </c>
    </row>
    <row r="18" spans="1:7" ht="31.5" x14ac:dyDescent="0.2">
      <c r="A18" s="192" t="s">
        <v>188</v>
      </c>
      <c r="B18" s="8" t="s">
        <v>138</v>
      </c>
      <c r="C18" s="144">
        <v>408000</v>
      </c>
      <c r="D18" s="5">
        <f t="shared" si="0"/>
        <v>16320</v>
      </c>
      <c r="E18" s="6" t="s">
        <v>129</v>
      </c>
      <c r="F18" s="7" t="s">
        <v>89</v>
      </c>
    </row>
    <row r="19" spans="1:7" ht="31.5" x14ac:dyDescent="0.2">
      <c r="A19" s="193"/>
      <c r="B19" s="8" t="s">
        <v>139</v>
      </c>
      <c r="C19" s="145">
        <v>408000</v>
      </c>
      <c r="D19" s="5">
        <f>C19/33</f>
        <v>12363.636363636364</v>
      </c>
      <c r="E19" s="9" t="s">
        <v>128</v>
      </c>
      <c r="F19" s="7" t="s">
        <v>89</v>
      </c>
    </row>
    <row r="20" spans="1:7" ht="72" x14ac:dyDescent="0.25">
      <c r="A20" s="58" t="s">
        <v>304</v>
      </c>
      <c r="B20" s="54" t="s">
        <v>65</v>
      </c>
      <c r="C20" s="133">
        <v>266040</v>
      </c>
      <c r="D20" s="64">
        <v>2956</v>
      </c>
      <c r="E20" s="73" t="s">
        <v>126</v>
      </c>
      <c r="F20" s="56" t="s">
        <v>184</v>
      </c>
      <c r="G20" s="66"/>
    </row>
  </sheetData>
  <mergeCells count="15">
    <mergeCell ref="E7:F7"/>
    <mergeCell ref="A8:A10"/>
    <mergeCell ref="B8:B10"/>
    <mergeCell ref="C8:C10"/>
    <mergeCell ref="D8:D10"/>
    <mergeCell ref="E8:E10"/>
    <mergeCell ref="F8:F10"/>
    <mergeCell ref="A18:A19"/>
    <mergeCell ref="A12:F12"/>
    <mergeCell ref="A13:A14"/>
    <mergeCell ref="B13:B14"/>
    <mergeCell ref="C13:C14"/>
    <mergeCell ref="D13:D14"/>
    <mergeCell ref="E13:E14"/>
    <mergeCell ref="F13:F1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прайс ТОО KGR 2020 в руб</vt:lpstr>
      <vt:lpstr>твинпаки 2020 руб</vt:lpstr>
      <vt:lpstr>прайс ТОО KGR 2020 в тенге</vt:lpstr>
      <vt:lpstr>твинпаки 2020 тенге</vt:lpstr>
      <vt:lpstr>прайс ТОО KGR 2020 в руб!Область_печати</vt:lpstr>
      <vt:lpstr>прайс ТОО KGR 2020 в тенге!Область_печати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2014-01-14T16:15:04Z</cp:lastPrinted>
  <dcterms:created xsi:type="dcterms:W3CDTF">2006-09-28T05:33:49Z</dcterms:created>
  <dcterms:modified xsi:type="dcterms:W3CDTF">2020-03-26T12:07:29Z</dcterms:modified>
</cp:coreProperties>
</file>